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rbas\Downloads\"/>
    </mc:Choice>
  </mc:AlternateContent>
  <xr:revisionPtr revIDLastSave="0" documentId="13_ncr:1_{A48AA123-8345-43D9-B739-54A33896CF02}" xr6:coauthVersionLast="47" xr6:coauthVersionMax="47" xr10:uidLastSave="{00000000-0000-0000-0000-000000000000}"/>
  <bookViews>
    <workbookView xWindow="-98" yWindow="-98" windowWidth="22276" windowHeight="13276" activeTab="2" xr2:uid="{00000000-000D-0000-FFFF-FFFF00000000}"/>
  </bookViews>
  <sheets>
    <sheet name="Setup" sheetId="1" r:id="rId1"/>
    <sheet name="Player Board" sheetId="2" r:id="rId2"/>
    <sheet name="Draft Tracker" sheetId="3" r:id="rId3"/>
    <sheet name="Available Players" sheetId="4" r:id="rId4"/>
    <sheet name="Manager Profiles" sheetId="5" r:id="rId5"/>
    <sheet name="Pick Predictor" sheetId="6" r:id="rId6"/>
    <sheet name="Draft Room" sheetId="7" r:id="rId7"/>
    <sheet name="Asset Values" sheetId="8" r:id="rId8"/>
    <sheet name="Trade Calculator" sheetId="9" r:id="rId9"/>
    <sheet name="Draft Grad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0" l="1"/>
  <c r="O11" i="10"/>
  <c r="N11" i="10"/>
  <c r="M11" i="10"/>
  <c r="B11" i="10"/>
  <c r="B10" i="10"/>
  <c r="B9" i="10"/>
  <c r="B8" i="10"/>
  <c r="B7" i="10"/>
  <c r="B6" i="10"/>
  <c r="O5" i="10"/>
  <c r="N5" i="10"/>
  <c r="M5" i="10"/>
  <c r="B5" i="10"/>
  <c r="P18" i="9"/>
  <c r="O18" i="9"/>
  <c r="N18" i="9"/>
  <c r="M18" i="9"/>
  <c r="L18" i="9"/>
  <c r="K18" i="9"/>
  <c r="J18" i="9"/>
  <c r="H18" i="9"/>
  <c r="G18" i="9"/>
  <c r="F18" i="9"/>
  <c r="E18" i="9"/>
  <c r="D18" i="9"/>
  <c r="C18" i="9"/>
  <c r="B18" i="9"/>
  <c r="P17" i="9"/>
  <c r="O17" i="9"/>
  <c r="N17" i="9"/>
  <c r="M17" i="9"/>
  <c r="L17" i="9"/>
  <c r="K17" i="9"/>
  <c r="J17" i="9"/>
  <c r="H17" i="9"/>
  <c r="G17" i="9"/>
  <c r="F17" i="9"/>
  <c r="E17" i="9"/>
  <c r="D17" i="9"/>
  <c r="C17" i="9"/>
  <c r="B17" i="9"/>
  <c r="P16" i="9"/>
  <c r="O16" i="9"/>
  <c r="N16" i="9"/>
  <c r="M16" i="9"/>
  <c r="L16" i="9"/>
  <c r="K16" i="9"/>
  <c r="J16" i="9"/>
  <c r="H16" i="9"/>
  <c r="G16" i="9"/>
  <c r="F16" i="9"/>
  <c r="E16" i="9"/>
  <c r="D16" i="9"/>
  <c r="C16" i="9"/>
  <c r="B16" i="9"/>
  <c r="N15" i="9"/>
  <c r="M15" i="9"/>
  <c r="K15" i="9"/>
  <c r="J15" i="9"/>
  <c r="L15" i="9" s="1"/>
  <c r="P15" i="9" s="1"/>
  <c r="H15" i="9"/>
  <c r="G15" i="9"/>
  <c r="F15" i="9"/>
  <c r="E15" i="9"/>
  <c r="D15" i="9"/>
  <c r="C15" i="9"/>
  <c r="B15" i="9"/>
  <c r="N14" i="9"/>
  <c r="M14" i="9"/>
  <c r="K14" i="9"/>
  <c r="J14" i="9"/>
  <c r="L14" i="9" s="1"/>
  <c r="F14" i="9"/>
  <c r="E14" i="9"/>
  <c r="C14" i="9"/>
  <c r="B14" i="9"/>
  <c r="D14" i="9" s="1"/>
  <c r="N13" i="9"/>
  <c r="M13" i="9"/>
  <c r="K13" i="9"/>
  <c r="J13" i="9"/>
  <c r="L13" i="9" s="1"/>
  <c r="F13" i="9"/>
  <c r="E13" i="9"/>
  <c r="B6" i="9" s="1"/>
  <c r="C13" i="9"/>
  <c r="B5" i="9" s="1"/>
  <c r="B13" i="9"/>
  <c r="D13" i="9" s="1"/>
  <c r="K148" i="8"/>
  <c r="J148" i="8"/>
  <c r="F148" i="8"/>
  <c r="H148" i="8" s="1"/>
  <c r="K147" i="8"/>
  <c r="J147" i="8"/>
  <c r="F147" i="8"/>
  <c r="H147" i="8" s="1"/>
  <c r="K146" i="8"/>
  <c r="J146" i="8"/>
  <c r="F146" i="8"/>
  <c r="H146" i="8" s="1"/>
  <c r="K145" i="8"/>
  <c r="J145" i="8"/>
  <c r="F145" i="8"/>
  <c r="H145" i="8" s="1"/>
  <c r="K144" i="8"/>
  <c r="J144" i="8"/>
  <c r="F144" i="8"/>
  <c r="H144" i="8" s="1"/>
  <c r="K143" i="8"/>
  <c r="J143" i="8"/>
  <c r="F143" i="8"/>
  <c r="H143" i="8" s="1"/>
  <c r="K142" i="8"/>
  <c r="J142" i="8"/>
  <c r="F142" i="8"/>
  <c r="H142" i="8" s="1"/>
  <c r="K141" i="8"/>
  <c r="J141" i="8"/>
  <c r="F141" i="8"/>
  <c r="H141" i="8" s="1"/>
  <c r="K140" i="8"/>
  <c r="J140" i="8"/>
  <c r="F140" i="8"/>
  <c r="H140" i="8" s="1"/>
  <c r="K139" i="8"/>
  <c r="J139" i="8"/>
  <c r="F139" i="8"/>
  <c r="H139" i="8" s="1"/>
  <c r="K138" i="8"/>
  <c r="J138" i="8"/>
  <c r="F138" i="8"/>
  <c r="H138" i="8" s="1"/>
  <c r="K137" i="8"/>
  <c r="J137" i="8"/>
  <c r="F137" i="8"/>
  <c r="H137" i="8" s="1"/>
  <c r="K136" i="8"/>
  <c r="J136" i="8"/>
  <c r="F136" i="8"/>
  <c r="H136" i="8" s="1"/>
  <c r="K135" i="8"/>
  <c r="J135" i="8"/>
  <c r="F135" i="8"/>
  <c r="H135" i="8" s="1"/>
  <c r="K134" i="8"/>
  <c r="J134" i="8"/>
  <c r="F134" i="8"/>
  <c r="H134" i="8" s="1"/>
  <c r="K133" i="8"/>
  <c r="J133" i="8"/>
  <c r="F133" i="8"/>
  <c r="H133" i="8" s="1"/>
  <c r="K132" i="8"/>
  <c r="J132" i="8"/>
  <c r="F132" i="8"/>
  <c r="H132" i="8" s="1"/>
  <c r="K131" i="8"/>
  <c r="J131" i="8"/>
  <c r="F131" i="8"/>
  <c r="H131" i="8" s="1"/>
  <c r="K130" i="8"/>
  <c r="J130" i="8"/>
  <c r="F130" i="8"/>
  <c r="H130" i="8" s="1"/>
  <c r="K129" i="8"/>
  <c r="J129" i="8"/>
  <c r="F129" i="8"/>
  <c r="H129" i="8" s="1"/>
  <c r="K128" i="8"/>
  <c r="J128" i="8"/>
  <c r="F128" i="8"/>
  <c r="H128" i="8" s="1"/>
  <c r="K127" i="8"/>
  <c r="J127" i="8"/>
  <c r="F127" i="8"/>
  <c r="H127" i="8" s="1"/>
  <c r="K126" i="8"/>
  <c r="J126" i="8"/>
  <c r="F126" i="8"/>
  <c r="H126" i="8" s="1"/>
  <c r="K125" i="8"/>
  <c r="J125" i="8"/>
  <c r="F125" i="8"/>
  <c r="H125" i="8" s="1"/>
  <c r="K124" i="8"/>
  <c r="J124" i="8"/>
  <c r="F124" i="8"/>
  <c r="H124" i="8" s="1"/>
  <c r="K123" i="8"/>
  <c r="J123" i="8"/>
  <c r="F123" i="8"/>
  <c r="H123" i="8" s="1"/>
  <c r="K122" i="8"/>
  <c r="J122" i="8"/>
  <c r="F122" i="8"/>
  <c r="H122" i="8" s="1"/>
  <c r="K121" i="8"/>
  <c r="J121" i="8"/>
  <c r="F121" i="8"/>
  <c r="H121" i="8" s="1"/>
  <c r="K120" i="8"/>
  <c r="J120" i="8"/>
  <c r="F120" i="8"/>
  <c r="H120" i="8" s="1"/>
  <c r="K119" i="8"/>
  <c r="J119" i="8"/>
  <c r="F119" i="8"/>
  <c r="H119" i="8" s="1"/>
  <c r="K118" i="8"/>
  <c r="J118" i="8"/>
  <c r="F118" i="8"/>
  <c r="H118" i="8" s="1"/>
  <c r="K117" i="8"/>
  <c r="J117" i="8"/>
  <c r="F117" i="8"/>
  <c r="H117" i="8" s="1"/>
  <c r="K116" i="8"/>
  <c r="J116" i="8"/>
  <c r="F116" i="8"/>
  <c r="H116" i="8" s="1"/>
  <c r="K115" i="8"/>
  <c r="J115" i="8"/>
  <c r="F115" i="8"/>
  <c r="H115" i="8" s="1"/>
  <c r="K114" i="8"/>
  <c r="J114" i="8"/>
  <c r="F114" i="8"/>
  <c r="H114" i="8" s="1"/>
  <c r="K113" i="8"/>
  <c r="J113" i="8"/>
  <c r="F113" i="8"/>
  <c r="H113" i="8" s="1"/>
  <c r="K112" i="8"/>
  <c r="J112" i="8"/>
  <c r="F112" i="8"/>
  <c r="H112" i="8" s="1"/>
  <c r="K111" i="8"/>
  <c r="J111" i="8"/>
  <c r="F111" i="8"/>
  <c r="H111" i="8" s="1"/>
  <c r="K110" i="8"/>
  <c r="J110" i="8"/>
  <c r="F110" i="8"/>
  <c r="H110" i="8" s="1"/>
  <c r="K109" i="8"/>
  <c r="J109" i="8"/>
  <c r="F109" i="8"/>
  <c r="H109" i="8" s="1"/>
  <c r="K108" i="8"/>
  <c r="J108" i="8"/>
  <c r="F108" i="8"/>
  <c r="H108" i="8" s="1"/>
  <c r="K107" i="8"/>
  <c r="J107" i="8"/>
  <c r="F107" i="8"/>
  <c r="H107" i="8" s="1"/>
  <c r="K106" i="8"/>
  <c r="J106" i="8"/>
  <c r="F106" i="8"/>
  <c r="H106" i="8" s="1"/>
  <c r="K105" i="8"/>
  <c r="J105" i="8"/>
  <c r="F105" i="8"/>
  <c r="H105" i="8" s="1"/>
  <c r="K104" i="8"/>
  <c r="J104" i="8"/>
  <c r="F104" i="8"/>
  <c r="H104" i="8" s="1"/>
  <c r="K103" i="8"/>
  <c r="J103" i="8"/>
  <c r="F103" i="8"/>
  <c r="H103" i="8" s="1"/>
  <c r="K102" i="8"/>
  <c r="J102" i="8"/>
  <c r="F102" i="8"/>
  <c r="H102" i="8" s="1"/>
  <c r="K101" i="8"/>
  <c r="J101" i="8"/>
  <c r="F101" i="8"/>
  <c r="H101" i="8" s="1"/>
  <c r="K100" i="8"/>
  <c r="J100" i="8"/>
  <c r="F100" i="8"/>
  <c r="H100" i="8" s="1"/>
  <c r="K99" i="8"/>
  <c r="J99" i="8"/>
  <c r="F99" i="8"/>
  <c r="H99" i="8" s="1"/>
  <c r="K98" i="8"/>
  <c r="J98" i="8"/>
  <c r="F98" i="8"/>
  <c r="H98" i="8" s="1"/>
  <c r="K97" i="8"/>
  <c r="J97" i="8"/>
  <c r="F97" i="8"/>
  <c r="H97" i="8" s="1"/>
  <c r="K96" i="8"/>
  <c r="J96" i="8"/>
  <c r="F96" i="8"/>
  <c r="H96" i="8" s="1"/>
  <c r="K95" i="8"/>
  <c r="J95" i="8"/>
  <c r="F95" i="8"/>
  <c r="H95" i="8" s="1"/>
  <c r="K94" i="8"/>
  <c r="J94" i="8"/>
  <c r="F94" i="8"/>
  <c r="H94" i="8" s="1"/>
  <c r="K93" i="8"/>
  <c r="J93" i="8"/>
  <c r="F93" i="8"/>
  <c r="H93" i="8" s="1"/>
  <c r="K92" i="8"/>
  <c r="J92" i="8"/>
  <c r="F92" i="8"/>
  <c r="H92" i="8" s="1"/>
  <c r="K91" i="8"/>
  <c r="J91" i="8"/>
  <c r="F91" i="8"/>
  <c r="H91" i="8" s="1"/>
  <c r="K90" i="8"/>
  <c r="J90" i="8"/>
  <c r="F90" i="8"/>
  <c r="H90" i="8" s="1"/>
  <c r="K89" i="8"/>
  <c r="J89" i="8"/>
  <c r="F89" i="8"/>
  <c r="H89" i="8" s="1"/>
  <c r="K88" i="8"/>
  <c r="J88" i="8"/>
  <c r="F88" i="8"/>
  <c r="H88" i="8" s="1"/>
  <c r="K87" i="8"/>
  <c r="J87" i="8"/>
  <c r="F87" i="8"/>
  <c r="H87" i="8" s="1"/>
  <c r="K86" i="8"/>
  <c r="J86" i="8"/>
  <c r="F86" i="8"/>
  <c r="H86" i="8" s="1"/>
  <c r="K85" i="8"/>
  <c r="J85" i="8"/>
  <c r="F85" i="8"/>
  <c r="H85" i="8" s="1"/>
  <c r="K84" i="8"/>
  <c r="J84" i="8"/>
  <c r="F84" i="8"/>
  <c r="H84" i="8" s="1"/>
  <c r="K83" i="8"/>
  <c r="J83" i="8"/>
  <c r="F83" i="8"/>
  <c r="H83" i="8" s="1"/>
  <c r="K82" i="8"/>
  <c r="J82" i="8"/>
  <c r="F82" i="8"/>
  <c r="H82" i="8" s="1"/>
  <c r="K81" i="8"/>
  <c r="J81" i="8"/>
  <c r="F81" i="8"/>
  <c r="H81" i="8" s="1"/>
  <c r="K80" i="8"/>
  <c r="J80" i="8"/>
  <c r="F80" i="8"/>
  <c r="H80" i="8" s="1"/>
  <c r="K79" i="8"/>
  <c r="J79" i="8"/>
  <c r="F79" i="8"/>
  <c r="H79" i="8" s="1"/>
  <c r="K78" i="8"/>
  <c r="J78" i="8"/>
  <c r="F78" i="8"/>
  <c r="H78" i="8" s="1"/>
  <c r="K77" i="8"/>
  <c r="J77" i="8"/>
  <c r="F77" i="8"/>
  <c r="H77" i="8" s="1"/>
  <c r="K76" i="8"/>
  <c r="J76" i="8"/>
  <c r="F76" i="8"/>
  <c r="H76" i="8" s="1"/>
  <c r="K75" i="8"/>
  <c r="J75" i="8"/>
  <c r="F75" i="8"/>
  <c r="H75" i="8" s="1"/>
  <c r="K74" i="8"/>
  <c r="J74" i="8"/>
  <c r="F74" i="8"/>
  <c r="H74" i="8" s="1"/>
  <c r="K73" i="8"/>
  <c r="J73" i="8"/>
  <c r="F73" i="8"/>
  <c r="H73" i="8" s="1"/>
  <c r="K72" i="8"/>
  <c r="J72" i="8"/>
  <c r="F72" i="8"/>
  <c r="H72" i="8" s="1"/>
  <c r="K71" i="8"/>
  <c r="J71" i="8"/>
  <c r="F71" i="8"/>
  <c r="H71" i="8" s="1"/>
  <c r="K70" i="8"/>
  <c r="J70" i="8"/>
  <c r="F70" i="8"/>
  <c r="H70" i="8" s="1"/>
  <c r="K69" i="8"/>
  <c r="J69" i="8"/>
  <c r="F69" i="8"/>
  <c r="H69" i="8" s="1"/>
  <c r="K68" i="8"/>
  <c r="J68" i="8"/>
  <c r="F68" i="8"/>
  <c r="H68" i="8" s="1"/>
  <c r="K67" i="8"/>
  <c r="J67" i="8"/>
  <c r="F67" i="8"/>
  <c r="H67" i="8" s="1"/>
  <c r="K66" i="8"/>
  <c r="J66" i="8"/>
  <c r="F66" i="8"/>
  <c r="H66" i="8" s="1"/>
  <c r="K65" i="8"/>
  <c r="J65" i="8"/>
  <c r="F65" i="8"/>
  <c r="H65" i="8" s="1"/>
  <c r="K64" i="8"/>
  <c r="J64" i="8"/>
  <c r="F64" i="8"/>
  <c r="H64" i="8" s="1"/>
  <c r="K63" i="8"/>
  <c r="J63" i="8"/>
  <c r="F63" i="8"/>
  <c r="H63" i="8" s="1"/>
  <c r="K62" i="8"/>
  <c r="J62" i="8"/>
  <c r="F62" i="8"/>
  <c r="H62" i="8" s="1"/>
  <c r="K61" i="8"/>
  <c r="J61" i="8"/>
  <c r="F61" i="8"/>
  <c r="H61" i="8" s="1"/>
  <c r="K60" i="8"/>
  <c r="J60" i="8"/>
  <c r="F60" i="8"/>
  <c r="H60" i="8" s="1"/>
  <c r="K59" i="8"/>
  <c r="J59" i="8"/>
  <c r="F59" i="8"/>
  <c r="H59" i="8" s="1"/>
  <c r="K58" i="8"/>
  <c r="J58" i="8"/>
  <c r="F58" i="8"/>
  <c r="H58" i="8" s="1"/>
  <c r="K57" i="8"/>
  <c r="J57" i="8"/>
  <c r="F57" i="8"/>
  <c r="H57" i="8" s="1"/>
  <c r="K56" i="8"/>
  <c r="J56" i="8"/>
  <c r="F56" i="8"/>
  <c r="H56" i="8" s="1"/>
  <c r="K55" i="8"/>
  <c r="J55" i="8"/>
  <c r="F55" i="8"/>
  <c r="H55" i="8" s="1"/>
  <c r="K54" i="8"/>
  <c r="J54" i="8"/>
  <c r="F54" i="8"/>
  <c r="H54" i="8" s="1"/>
  <c r="K53" i="8"/>
  <c r="J53" i="8"/>
  <c r="F53" i="8"/>
  <c r="H53" i="8" s="1"/>
  <c r="K52" i="8"/>
  <c r="J52" i="8"/>
  <c r="F52" i="8"/>
  <c r="H52" i="8" s="1"/>
  <c r="K51" i="8"/>
  <c r="J51" i="8"/>
  <c r="F51" i="8"/>
  <c r="H51" i="8" s="1"/>
  <c r="K50" i="8"/>
  <c r="J50" i="8"/>
  <c r="F50" i="8"/>
  <c r="H50" i="8" s="1"/>
  <c r="K49" i="8"/>
  <c r="J49" i="8"/>
  <c r="F49" i="8"/>
  <c r="H49" i="8" s="1"/>
  <c r="K48" i="8"/>
  <c r="J48" i="8"/>
  <c r="F48" i="8"/>
  <c r="H48" i="8" s="1"/>
  <c r="K47" i="8"/>
  <c r="J47" i="8"/>
  <c r="F47" i="8"/>
  <c r="H47" i="8" s="1"/>
  <c r="K46" i="8"/>
  <c r="J46" i="8"/>
  <c r="F46" i="8"/>
  <c r="H46" i="8" s="1"/>
  <c r="K45" i="8"/>
  <c r="J45" i="8"/>
  <c r="F45" i="8"/>
  <c r="H45" i="8" s="1"/>
  <c r="K44" i="8"/>
  <c r="J44" i="8"/>
  <c r="F44" i="8"/>
  <c r="H44" i="8" s="1"/>
  <c r="K43" i="8"/>
  <c r="J43" i="8"/>
  <c r="F43" i="8"/>
  <c r="H43" i="8" s="1"/>
  <c r="K42" i="8"/>
  <c r="J42" i="8"/>
  <c r="F42" i="8"/>
  <c r="H42" i="8" s="1"/>
  <c r="K41" i="8"/>
  <c r="J41" i="8"/>
  <c r="F41" i="8"/>
  <c r="H41" i="8" s="1"/>
  <c r="K40" i="8"/>
  <c r="J40" i="8"/>
  <c r="F40" i="8"/>
  <c r="H40" i="8" s="1"/>
  <c r="K39" i="8"/>
  <c r="J39" i="8"/>
  <c r="F39" i="8"/>
  <c r="H39" i="8" s="1"/>
  <c r="K38" i="8"/>
  <c r="J38" i="8"/>
  <c r="F38" i="8"/>
  <c r="H38" i="8" s="1"/>
  <c r="K37" i="8"/>
  <c r="J37" i="8"/>
  <c r="F37" i="8"/>
  <c r="H37" i="8" s="1"/>
  <c r="K36" i="8"/>
  <c r="J36" i="8"/>
  <c r="F36" i="8"/>
  <c r="H36" i="8" s="1"/>
  <c r="K35" i="8"/>
  <c r="J35" i="8"/>
  <c r="F35" i="8"/>
  <c r="H35" i="8" s="1"/>
  <c r="K34" i="8"/>
  <c r="J34" i="8"/>
  <c r="F34" i="8"/>
  <c r="H34" i="8" s="1"/>
  <c r="K33" i="8"/>
  <c r="J33" i="8"/>
  <c r="F33" i="8"/>
  <c r="H33" i="8" s="1"/>
  <c r="K32" i="8"/>
  <c r="J32" i="8"/>
  <c r="F32" i="8"/>
  <c r="H32" i="8" s="1"/>
  <c r="K31" i="8"/>
  <c r="J31" i="8"/>
  <c r="F31" i="8"/>
  <c r="H31" i="8" s="1"/>
  <c r="K30" i="8"/>
  <c r="J30" i="8"/>
  <c r="F30" i="8"/>
  <c r="H30" i="8" s="1"/>
  <c r="K29" i="8"/>
  <c r="J29" i="8"/>
  <c r="F29" i="8"/>
  <c r="H29" i="8" s="1"/>
  <c r="K28" i="8"/>
  <c r="J28" i="8"/>
  <c r="F28" i="8"/>
  <c r="H28" i="8" s="1"/>
  <c r="K27" i="8"/>
  <c r="J27" i="8"/>
  <c r="F27" i="8"/>
  <c r="H27" i="8" s="1"/>
  <c r="K26" i="8"/>
  <c r="J26" i="8"/>
  <c r="F26" i="8"/>
  <c r="H26" i="8" s="1"/>
  <c r="K25" i="8"/>
  <c r="J25" i="8"/>
  <c r="F25" i="8"/>
  <c r="H25" i="8" s="1"/>
  <c r="K24" i="8"/>
  <c r="J24" i="8"/>
  <c r="F24" i="8"/>
  <c r="H24" i="8" s="1"/>
  <c r="K23" i="8"/>
  <c r="J23" i="8"/>
  <c r="F23" i="8"/>
  <c r="H23" i="8" s="1"/>
  <c r="K22" i="8"/>
  <c r="J22" i="8"/>
  <c r="F22" i="8"/>
  <c r="H22" i="8" s="1"/>
  <c r="K21" i="8"/>
  <c r="J21" i="8"/>
  <c r="F21" i="8"/>
  <c r="H21" i="8" s="1"/>
  <c r="K20" i="8"/>
  <c r="J20" i="8"/>
  <c r="F20" i="8"/>
  <c r="H20" i="8" s="1"/>
  <c r="K19" i="8"/>
  <c r="J19" i="8"/>
  <c r="F19" i="8"/>
  <c r="H19" i="8" s="1"/>
  <c r="K18" i="8"/>
  <c r="J18" i="8"/>
  <c r="F18" i="8"/>
  <c r="H18" i="8" s="1"/>
  <c r="K17" i="8"/>
  <c r="J17" i="8"/>
  <c r="F17" i="8"/>
  <c r="H17" i="8" s="1"/>
  <c r="K16" i="8"/>
  <c r="J16" i="8"/>
  <c r="F16" i="8"/>
  <c r="H16" i="8" s="1"/>
  <c r="K15" i="8"/>
  <c r="J15" i="8"/>
  <c r="F15" i="8"/>
  <c r="H15" i="8" s="1"/>
  <c r="K14" i="8"/>
  <c r="J14" i="8"/>
  <c r="F14" i="8"/>
  <c r="H14" i="8" s="1"/>
  <c r="K13" i="8"/>
  <c r="J13" i="8"/>
  <c r="F13" i="8"/>
  <c r="H13" i="8" s="1"/>
  <c r="K12" i="8"/>
  <c r="J12" i="8"/>
  <c r="F12" i="8"/>
  <c r="H12" i="8" s="1"/>
  <c r="K11" i="8"/>
  <c r="J11" i="8"/>
  <c r="F11" i="8"/>
  <c r="H11" i="8" s="1"/>
  <c r="K10" i="8"/>
  <c r="J10" i="8"/>
  <c r="F10" i="8"/>
  <c r="H10" i="8" s="1"/>
  <c r="K9" i="8"/>
  <c r="J9" i="8"/>
  <c r="F9" i="8"/>
  <c r="H9" i="8" s="1"/>
  <c r="K8" i="8"/>
  <c r="J8" i="8"/>
  <c r="F8" i="8"/>
  <c r="H8" i="8" s="1"/>
  <c r="K7" i="8"/>
  <c r="J7" i="8"/>
  <c r="F7" i="8"/>
  <c r="H7" i="8" s="1"/>
  <c r="K6" i="8"/>
  <c r="J6" i="8"/>
  <c r="F6" i="8"/>
  <c r="H6" i="8" s="1"/>
  <c r="K5" i="8"/>
  <c r="J5" i="8"/>
  <c r="F5" i="8"/>
  <c r="H5" i="8" s="1"/>
  <c r="I32" i="7"/>
  <c r="K32" i="7" s="1"/>
  <c r="I31" i="7"/>
  <c r="K31" i="7" s="1"/>
  <c r="I30" i="7"/>
  <c r="K30" i="7" s="1"/>
  <c r="I29" i="7"/>
  <c r="K29" i="7" s="1"/>
  <c r="I28" i="7"/>
  <c r="K28" i="7" s="1"/>
  <c r="I27" i="7"/>
  <c r="K27" i="7" s="1"/>
  <c r="A21" i="7"/>
  <c r="A20" i="7"/>
  <c r="A19" i="7"/>
  <c r="A18" i="7"/>
  <c r="A17" i="7"/>
  <c r="A16" i="7"/>
  <c r="A15" i="7"/>
  <c r="A14" i="7"/>
  <c r="A13" i="7"/>
  <c r="A12" i="7"/>
  <c r="O164" i="6"/>
  <c r="N164" i="6"/>
  <c r="M164" i="6"/>
  <c r="L164" i="6"/>
  <c r="O163" i="6"/>
  <c r="N163" i="6"/>
  <c r="M163" i="6"/>
  <c r="L163" i="6"/>
  <c r="O162" i="6"/>
  <c r="N162" i="6"/>
  <c r="M162" i="6"/>
  <c r="L162" i="6"/>
  <c r="O161" i="6"/>
  <c r="N161" i="6"/>
  <c r="M161" i="6"/>
  <c r="L161" i="6"/>
  <c r="O160" i="6"/>
  <c r="N160" i="6"/>
  <c r="M160" i="6"/>
  <c r="L160" i="6"/>
  <c r="O159" i="6"/>
  <c r="N159" i="6"/>
  <c r="M159" i="6"/>
  <c r="L159" i="6"/>
  <c r="O158" i="6"/>
  <c r="N158" i="6"/>
  <c r="M158" i="6"/>
  <c r="L158" i="6"/>
  <c r="O157" i="6"/>
  <c r="N157" i="6"/>
  <c r="M157" i="6"/>
  <c r="L157" i="6"/>
  <c r="O156" i="6"/>
  <c r="N156" i="6"/>
  <c r="M156" i="6"/>
  <c r="L156" i="6"/>
  <c r="O155" i="6"/>
  <c r="N155" i="6"/>
  <c r="M155" i="6"/>
  <c r="L155" i="6"/>
  <c r="O154" i="6"/>
  <c r="N154" i="6"/>
  <c r="M154" i="6"/>
  <c r="L154" i="6"/>
  <c r="O153" i="6"/>
  <c r="N153" i="6"/>
  <c r="M153" i="6"/>
  <c r="L153" i="6"/>
  <c r="O152" i="6"/>
  <c r="N152" i="6"/>
  <c r="M152" i="6"/>
  <c r="L152" i="6"/>
  <c r="O151" i="6"/>
  <c r="N151" i="6"/>
  <c r="M151" i="6"/>
  <c r="L151" i="6"/>
  <c r="O150" i="6"/>
  <c r="N150" i="6"/>
  <c r="M150" i="6"/>
  <c r="L150" i="6"/>
  <c r="O149" i="6"/>
  <c r="N149" i="6"/>
  <c r="M149" i="6"/>
  <c r="L149" i="6"/>
  <c r="O148" i="6"/>
  <c r="N148" i="6"/>
  <c r="M148" i="6"/>
  <c r="L148" i="6"/>
  <c r="X147" i="6"/>
  <c r="Y147" i="6" s="1"/>
  <c r="AB147" i="6" s="1"/>
  <c r="N147" i="6"/>
  <c r="M147" i="6"/>
  <c r="L147" i="6"/>
  <c r="N146" i="6"/>
  <c r="M146" i="6"/>
  <c r="L146" i="6"/>
  <c r="N145" i="6"/>
  <c r="M145" i="6"/>
  <c r="L145" i="6"/>
  <c r="N144" i="6"/>
  <c r="M144" i="6"/>
  <c r="L144" i="6"/>
  <c r="N143" i="6"/>
  <c r="M143" i="6"/>
  <c r="L143" i="6"/>
  <c r="N142" i="6"/>
  <c r="M142" i="6"/>
  <c r="L142" i="6"/>
  <c r="N141" i="6"/>
  <c r="M141" i="6"/>
  <c r="L141" i="6"/>
  <c r="N140" i="6"/>
  <c r="M140" i="6"/>
  <c r="L140" i="6"/>
  <c r="N139" i="6"/>
  <c r="M139" i="6"/>
  <c r="L139" i="6"/>
  <c r="N138" i="6"/>
  <c r="M138" i="6"/>
  <c r="L138" i="6"/>
  <c r="N137" i="6"/>
  <c r="M137" i="6"/>
  <c r="L137" i="6"/>
  <c r="N136" i="6"/>
  <c r="M136" i="6"/>
  <c r="L136" i="6"/>
  <c r="N135" i="6"/>
  <c r="M135" i="6"/>
  <c r="L135" i="6"/>
  <c r="N134" i="6"/>
  <c r="M134" i="6"/>
  <c r="L134" i="6"/>
  <c r="N133" i="6"/>
  <c r="M133" i="6"/>
  <c r="L133" i="6"/>
  <c r="N132" i="6"/>
  <c r="M132" i="6"/>
  <c r="L132" i="6"/>
  <c r="N131" i="6"/>
  <c r="M131" i="6"/>
  <c r="L131" i="6"/>
  <c r="N130" i="6"/>
  <c r="M130" i="6"/>
  <c r="L130" i="6"/>
  <c r="N129" i="6"/>
  <c r="M129" i="6"/>
  <c r="L129" i="6"/>
  <c r="N128" i="6"/>
  <c r="M128" i="6"/>
  <c r="L128" i="6"/>
  <c r="N127" i="6"/>
  <c r="M127" i="6"/>
  <c r="L127" i="6"/>
  <c r="N126" i="6"/>
  <c r="M126" i="6"/>
  <c r="L126" i="6"/>
  <c r="N125" i="6"/>
  <c r="M125" i="6"/>
  <c r="L125" i="6"/>
  <c r="N124" i="6"/>
  <c r="M124" i="6"/>
  <c r="L124" i="6"/>
  <c r="N123" i="6"/>
  <c r="M123" i="6"/>
  <c r="L123" i="6"/>
  <c r="N122" i="6"/>
  <c r="M122" i="6"/>
  <c r="L122" i="6"/>
  <c r="N121" i="6"/>
  <c r="M121" i="6"/>
  <c r="L121" i="6"/>
  <c r="N120" i="6"/>
  <c r="M120" i="6"/>
  <c r="L120" i="6"/>
  <c r="N119" i="6"/>
  <c r="M119" i="6"/>
  <c r="L119" i="6"/>
  <c r="N118" i="6"/>
  <c r="M118" i="6"/>
  <c r="L118" i="6"/>
  <c r="N117" i="6"/>
  <c r="M117" i="6"/>
  <c r="L117" i="6"/>
  <c r="N116" i="6"/>
  <c r="M116" i="6"/>
  <c r="L116" i="6"/>
  <c r="N115" i="6"/>
  <c r="M115" i="6"/>
  <c r="L115" i="6"/>
  <c r="N114" i="6"/>
  <c r="M114" i="6"/>
  <c r="L114" i="6"/>
  <c r="N113" i="6"/>
  <c r="M113" i="6"/>
  <c r="L113" i="6"/>
  <c r="N112" i="6"/>
  <c r="M112" i="6"/>
  <c r="L112" i="6"/>
  <c r="N111" i="6"/>
  <c r="M111" i="6"/>
  <c r="L111" i="6"/>
  <c r="N110" i="6"/>
  <c r="M110" i="6"/>
  <c r="L110" i="6"/>
  <c r="N109" i="6"/>
  <c r="M109" i="6"/>
  <c r="L109" i="6"/>
  <c r="N108" i="6"/>
  <c r="M108" i="6"/>
  <c r="L108" i="6"/>
  <c r="N107" i="6"/>
  <c r="M107" i="6"/>
  <c r="L107" i="6"/>
  <c r="N106" i="6"/>
  <c r="M106" i="6"/>
  <c r="L106" i="6"/>
  <c r="N105" i="6"/>
  <c r="M105" i="6"/>
  <c r="L105" i="6"/>
  <c r="N104" i="6"/>
  <c r="M104" i="6"/>
  <c r="L104" i="6"/>
  <c r="N103" i="6"/>
  <c r="M103" i="6"/>
  <c r="L103" i="6"/>
  <c r="N102" i="6"/>
  <c r="M102" i="6"/>
  <c r="L102" i="6"/>
  <c r="N101" i="6"/>
  <c r="M101" i="6"/>
  <c r="L101" i="6"/>
  <c r="N100" i="6"/>
  <c r="M100" i="6"/>
  <c r="L100" i="6"/>
  <c r="N99" i="6"/>
  <c r="M99" i="6"/>
  <c r="L99" i="6"/>
  <c r="N98" i="6"/>
  <c r="M98" i="6"/>
  <c r="L98" i="6"/>
  <c r="N97" i="6"/>
  <c r="M97" i="6"/>
  <c r="L97" i="6"/>
  <c r="N96" i="6"/>
  <c r="M96" i="6"/>
  <c r="L96" i="6"/>
  <c r="N95" i="6"/>
  <c r="M95" i="6"/>
  <c r="L95" i="6"/>
  <c r="N94" i="6"/>
  <c r="M94" i="6"/>
  <c r="L94" i="6"/>
  <c r="N93" i="6"/>
  <c r="M93" i="6"/>
  <c r="L93" i="6"/>
  <c r="N92" i="6"/>
  <c r="M92" i="6"/>
  <c r="L92" i="6"/>
  <c r="N91" i="6"/>
  <c r="M91" i="6"/>
  <c r="L91" i="6"/>
  <c r="N90" i="6"/>
  <c r="M90" i="6"/>
  <c r="L90" i="6"/>
  <c r="N89" i="6"/>
  <c r="M89" i="6"/>
  <c r="L89" i="6"/>
  <c r="N88" i="6"/>
  <c r="M88" i="6"/>
  <c r="L88" i="6"/>
  <c r="N87" i="6"/>
  <c r="M87" i="6"/>
  <c r="L87" i="6"/>
  <c r="N86" i="6"/>
  <c r="M86" i="6"/>
  <c r="L86" i="6"/>
  <c r="N85" i="6"/>
  <c r="M85" i="6"/>
  <c r="L85" i="6"/>
  <c r="N84" i="6"/>
  <c r="M84" i="6"/>
  <c r="L84" i="6"/>
  <c r="N83" i="6"/>
  <c r="M83" i="6"/>
  <c r="L83" i="6"/>
  <c r="N82" i="6"/>
  <c r="M82" i="6"/>
  <c r="L82" i="6"/>
  <c r="N81" i="6"/>
  <c r="M81" i="6"/>
  <c r="L81" i="6"/>
  <c r="N80" i="6"/>
  <c r="M80" i="6"/>
  <c r="L80" i="6"/>
  <c r="N79" i="6"/>
  <c r="M79" i="6"/>
  <c r="L79" i="6"/>
  <c r="N78" i="6"/>
  <c r="M78" i="6"/>
  <c r="L78" i="6"/>
  <c r="N77" i="6"/>
  <c r="M77" i="6"/>
  <c r="L77" i="6"/>
  <c r="N76" i="6"/>
  <c r="M76" i="6"/>
  <c r="L76" i="6"/>
  <c r="N75" i="6"/>
  <c r="M75" i="6"/>
  <c r="L75" i="6"/>
  <c r="N74" i="6"/>
  <c r="M74" i="6"/>
  <c r="L74" i="6"/>
  <c r="N73" i="6"/>
  <c r="M73" i="6"/>
  <c r="L73" i="6"/>
  <c r="N72" i="6"/>
  <c r="M72" i="6"/>
  <c r="L72" i="6"/>
  <c r="N71" i="6"/>
  <c r="M71" i="6"/>
  <c r="L71" i="6"/>
  <c r="N70" i="6"/>
  <c r="M70" i="6"/>
  <c r="L70" i="6"/>
  <c r="N69" i="6"/>
  <c r="M69" i="6"/>
  <c r="L69" i="6"/>
  <c r="N68" i="6"/>
  <c r="M68" i="6"/>
  <c r="L68" i="6"/>
  <c r="N67" i="6"/>
  <c r="M67" i="6"/>
  <c r="L67" i="6"/>
  <c r="N66" i="6"/>
  <c r="M66" i="6"/>
  <c r="L66" i="6"/>
  <c r="N65" i="6"/>
  <c r="M65" i="6"/>
  <c r="L65" i="6"/>
  <c r="N64" i="6"/>
  <c r="M64" i="6"/>
  <c r="L64" i="6"/>
  <c r="N63" i="6"/>
  <c r="M63" i="6"/>
  <c r="L63" i="6"/>
  <c r="N62" i="6"/>
  <c r="M62" i="6"/>
  <c r="L62" i="6"/>
  <c r="N61" i="6"/>
  <c r="M61" i="6"/>
  <c r="L61" i="6"/>
  <c r="N60" i="6"/>
  <c r="M60" i="6"/>
  <c r="L60" i="6"/>
  <c r="N59" i="6"/>
  <c r="M59" i="6"/>
  <c r="L59" i="6"/>
  <c r="N58" i="6"/>
  <c r="M58" i="6"/>
  <c r="L58" i="6"/>
  <c r="N57" i="6"/>
  <c r="M57" i="6"/>
  <c r="L57" i="6"/>
  <c r="N56" i="6"/>
  <c r="M56" i="6"/>
  <c r="L56" i="6"/>
  <c r="N55" i="6"/>
  <c r="M55" i="6"/>
  <c r="L55" i="6"/>
  <c r="N54" i="6"/>
  <c r="M54" i="6"/>
  <c r="L54" i="6"/>
  <c r="N53" i="6"/>
  <c r="M53" i="6"/>
  <c r="L53" i="6"/>
  <c r="N52" i="6"/>
  <c r="M52" i="6"/>
  <c r="L52" i="6"/>
  <c r="N51" i="6"/>
  <c r="M51" i="6"/>
  <c r="L51" i="6"/>
  <c r="N50" i="6"/>
  <c r="M50" i="6"/>
  <c r="L50" i="6"/>
  <c r="N49" i="6"/>
  <c r="M49" i="6"/>
  <c r="L49" i="6"/>
  <c r="N48" i="6"/>
  <c r="M48" i="6"/>
  <c r="L48" i="6"/>
  <c r="X47" i="6"/>
  <c r="Y47" i="6" s="1"/>
  <c r="AB47" i="6" s="1"/>
  <c r="N47" i="6"/>
  <c r="M47" i="6"/>
  <c r="L47" i="6"/>
  <c r="N46" i="6"/>
  <c r="M46" i="6"/>
  <c r="L46" i="6"/>
  <c r="N45" i="6"/>
  <c r="M45" i="6"/>
  <c r="L45" i="6"/>
  <c r="N44" i="6"/>
  <c r="M44" i="6"/>
  <c r="L44" i="6"/>
  <c r="N43" i="6"/>
  <c r="M43" i="6"/>
  <c r="L43" i="6"/>
  <c r="N42" i="6"/>
  <c r="M42" i="6"/>
  <c r="L42" i="6"/>
  <c r="N41" i="6"/>
  <c r="M41" i="6"/>
  <c r="L41" i="6"/>
  <c r="N40" i="6"/>
  <c r="M40" i="6"/>
  <c r="L40" i="6"/>
  <c r="N39" i="6"/>
  <c r="M39" i="6"/>
  <c r="L39" i="6"/>
  <c r="N38" i="6"/>
  <c r="M38" i="6"/>
  <c r="L38" i="6"/>
  <c r="N37" i="6"/>
  <c r="M37" i="6"/>
  <c r="L37" i="6"/>
  <c r="N36" i="6"/>
  <c r="M36" i="6"/>
  <c r="L36" i="6"/>
  <c r="N35" i="6"/>
  <c r="M35" i="6"/>
  <c r="L35" i="6"/>
  <c r="N34" i="6"/>
  <c r="M34" i="6"/>
  <c r="L34" i="6"/>
  <c r="N33" i="6"/>
  <c r="M33" i="6"/>
  <c r="L33" i="6"/>
  <c r="N32" i="6"/>
  <c r="M32" i="6"/>
  <c r="L32" i="6"/>
  <c r="N31" i="6"/>
  <c r="M31" i="6"/>
  <c r="L31" i="6"/>
  <c r="N30" i="6"/>
  <c r="M30" i="6"/>
  <c r="L30" i="6"/>
  <c r="N29" i="6"/>
  <c r="M29" i="6"/>
  <c r="L29" i="6"/>
  <c r="N28" i="6"/>
  <c r="M28" i="6"/>
  <c r="L28" i="6"/>
  <c r="N27" i="6"/>
  <c r="M27" i="6"/>
  <c r="L27" i="6"/>
  <c r="P26" i="6"/>
  <c r="Q26" i="6" s="1"/>
  <c r="N26" i="6"/>
  <c r="M26" i="6"/>
  <c r="L26" i="6"/>
  <c r="N25" i="6"/>
  <c r="M25" i="6"/>
  <c r="L25" i="6"/>
  <c r="N24" i="6"/>
  <c r="M24" i="6"/>
  <c r="L24" i="6"/>
  <c r="N23" i="6"/>
  <c r="M23" i="6"/>
  <c r="L23" i="6"/>
  <c r="N22" i="6"/>
  <c r="M22" i="6"/>
  <c r="L22" i="6"/>
  <c r="N21" i="6"/>
  <c r="M21" i="6"/>
  <c r="L21" i="6"/>
  <c r="N20" i="6"/>
  <c r="M20" i="6"/>
  <c r="L20" i="6"/>
  <c r="N19" i="6"/>
  <c r="M19" i="6"/>
  <c r="L19" i="6"/>
  <c r="N18" i="6"/>
  <c r="M18" i="6"/>
  <c r="L18" i="6"/>
  <c r="O17" i="6"/>
  <c r="N17" i="6"/>
  <c r="M17" i="6"/>
  <c r="L17" i="6"/>
  <c r="N16" i="6"/>
  <c r="M16" i="6"/>
  <c r="L16" i="6"/>
  <c r="N15" i="6"/>
  <c r="M15" i="6"/>
  <c r="L15" i="6"/>
  <c r="P14" i="6"/>
  <c r="Q14" i="6" s="1"/>
  <c r="N14" i="6"/>
  <c r="M14" i="6"/>
  <c r="L14" i="6"/>
  <c r="N13" i="6"/>
  <c r="M13" i="6"/>
  <c r="L13" i="6"/>
  <c r="N12" i="6"/>
  <c r="M12" i="6"/>
  <c r="L12" i="6"/>
  <c r="N11" i="6"/>
  <c r="M11" i="6"/>
  <c r="L11" i="6"/>
  <c r="N10" i="6"/>
  <c r="M10" i="6"/>
  <c r="L10" i="6"/>
  <c r="N9" i="6"/>
  <c r="M9" i="6"/>
  <c r="L9" i="6"/>
  <c r="N8" i="6"/>
  <c r="M8" i="6"/>
  <c r="L8" i="6"/>
  <c r="N7" i="6"/>
  <c r="M7" i="6"/>
  <c r="L7" i="6"/>
  <c r="N6" i="6"/>
  <c r="M6" i="6"/>
  <c r="L6" i="6"/>
  <c r="N5" i="6"/>
  <c r="M5" i="6"/>
  <c r="L5" i="6"/>
  <c r="B4" i="6"/>
  <c r="W11" i="5"/>
  <c r="V11" i="5"/>
  <c r="U11" i="5"/>
  <c r="T11" i="5"/>
  <c r="M11" i="5"/>
  <c r="L11" i="5"/>
  <c r="K11" i="5"/>
  <c r="J11" i="5"/>
  <c r="W5" i="5"/>
  <c r="V5" i="5"/>
  <c r="U5" i="5"/>
  <c r="T5" i="5"/>
  <c r="N5" i="5" s="1"/>
  <c r="E5" i="10" s="1"/>
  <c r="M5" i="5"/>
  <c r="L5" i="5"/>
  <c r="K5" i="5"/>
  <c r="R147" i="3"/>
  <c r="K147" i="3"/>
  <c r="I147" i="3"/>
  <c r="H147" i="3"/>
  <c r="G147" i="3"/>
  <c r="F147" i="3"/>
  <c r="R146" i="3"/>
  <c r="K146" i="3"/>
  <c r="I146" i="3"/>
  <c r="H146" i="3"/>
  <c r="G146" i="3"/>
  <c r="F146" i="3"/>
  <c r="R145" i="3"/>
  <c r="K145" i="3"/>
  <c r="I145" i="3"/>
  <c r="H145" i="3"/>
  <c r="G145" i="3"/>
  <c r="F145" i="3"/>
  <c r="R144" i="3"/>
  <c r="K144" i="3"/>
  <c r="I144" i="3"/>
  <c r="H144" i="3"/>
  <c r="G144" i="3"/>
  <c r="F144" i="3"/>
  <c r="R143" i="3"/>
  <c r="K143" i="3"/>
  <c r="I143" i="3"/>
  <c r="H143" i="3"/>
  <c r="G143" i="3"/>
  <c r="F143" i="3"/>
  <c r="R142" i="3"/>
  <c r="K142" i="3"/>
  <c r="I142" i="3"/>
  <c r="H142" i="3"/>
  <c r="G142" i="3"/>
  <c r="F142" i="3"/>
  <c r="R141" i="3"/>
  <c r="K141" i="3"/>
  <c r="I141" i="3"/>
  <c r="H141" i="3"/>
  <c r="G141" i="3"/>
  <c r="F141" i="3"/>
  <c r="R140" i="3"/>
  <c r="K140" i="3"/>
  <c r="I140" i="3"/>
  <c r="H140" i="3"/>
  <c r="G140" i="3"/>
  <c r="F140" i="3"/>
  <c r="R139" i="3"/>
  <c r="K139" i="3"/>
  <c r="I139" i="3"/>
  <c r="H139" i="3"/>
  <c r="G139" i="3"/>
  <c r="F139" i="3"/>
  <c r="R138" i="3"/>
  <c r="K138" i="3"/>
  <c r="I138" i="3"/>
  <c r="H138" i="3"/>
  <c r="G138" i="3"/>
  <c r="F138" i="3"/>
  <c r="R137" i="3"/>
  <c r="K137" i="3"/>
  <c r="I137" i="3"/>
  <c r="H137" i="3"/>
  <c r="G137" i="3"/>
  <c r="F137" i="3"/>
  <c r="R136" i="3"/>
  <c r="K136" i="3"/>
  <c r="I136" i="3"/>
  <c r="H136" i="3"/>
  <c r="G136" i="3"/>
  <c r="F136" i="3"/>
  <c r="R135" i="3"/>
  <c r="K135" i="3"/>
  <c r="I135" i="3"/>
  <c r="H135" i="3"/>
  <c r="G135" i="3"/>
  <c r="F135" i="3"/>
  <c r="R134" i="3"/>
  <c r="K134" i="3"/>
  <c r="I134" i="3"/>
  <c r="H134" i="3"/>
  <c r="G134" i="3"/>
  <c r="F134" i="3"/>
  <c r="R133" i="3"/>
  <c r="K133" i="3"/>
  <c r="I133" i="3"/>
  <c r="H133" i="3"/>
  <c r="G133" i="3"/>
  <c r="F133" i="3"/>
  <c r="R132" i="3"/>
  <c r="K132" i="3"/>
  <c r="I132" i="3"/>
  <c r="H132" i="3"/>
  <c r="G132" i="3"/>
  <c r="F132" i="3"/>
  <c r="R131" i="3"/>
  <c r="K131" i="3"/>
  <c r="I131" i="3"/>
  <c r="H131" i="3"/>
  <c r="G131" i="3"/>
  <c r="F131" i="3"/>
  <c r="R130" i="3"/>
  <c r="K130" i="3"/>
  <c r="I130" i="3"/>
  <c r="H130" i="3"/>
  <c r="G130" i="3"/>
  <c r="F130" i="3"/>
  <c r="R129" i="3"/>
  <c r="K129" i="3"/>
  <c r="I129" i="3"/>
  <c r="H129" i="3"/>
  <c r="G129" i="3"/>
  <c r="F129" i="3"/>
  <c r="R128" i="3"/>
  <c r="K128" i="3"/>
  <c r="I128" i="3"/>
  <c r="H128" i="3"/>
  <c r="G128" i="3"/>
  <c r="F128" i="3"/>
  <c r="R127" i="3"/>
  <c r="K127" i="3"/>
  <c r="I127" i="3"/>
  <c r="H127" i="3"/>
  <c r="G127" i="3"/>
  <c r="F127" i="3"/>
  <c r="R126" i="3"/>
  <c r="K126" i="3"/>
  <c r="I126" i="3"/>
  <c r="H126" i="3"/>
  <c r="G126" i="3"/>
  <c r="F126" i="3"/>
  <c r="R125" i="3"/>
  <c r="K125" i="3"/>
  <c r="I125" i="3"/>
  <c r="H125" i="3"/>
  <c r="G125" i="3"/>
  <c r="F125" i="3"/>
  <c r="R124" i="3"/>
  <c r="K124" i="3"/>
  <c r="I124" i="3"/>
  <c r="H124" i="3"/>
  <c r="G124" i="3"/>
  <c r="F124" i="3"/>
  <c r="R123" i="3"/>
  <c r="K123" i="3"/>
  <c r="I123" i="3"/>
  <c r="H123" i="3"/>
  <c r="G123" i="3"/>
  <c r="F123" i="3"/>
  <c r="R122" i="3"/>
  <c r="K122" i="3"/>
  <c r="I122" i="3"/>
  <c r="H122" i="3"/>
  <c r="G122" i="3"/>
  <c r="F122" i="3"/>
  <c r="R121" i="3"/>
  <c r="K121" i="3"/>
  <c r="I121" i="3"/>
  <c r="H121" i="3"/>
  <c r="G121" i="3"/>
  <c r="F121" i="3"/>
  <c r="R120" i="3"/>
  <c r="K120" i="3"/>
  <c r="I120" i="3"/>
  <c r="H120" i="3"/>
  <c r="G120" i="3"/>
  <c r="F120" i="3"/>
  <c r="R119" i="3"/>
  <c r="K119" i="3"/>
  <c r="I119" i="3"/>
  <c r="H119" i="3"/>
  <c r="G119" i="3"/>
  <c r="F119" i="3"/>
  <c r="R118" i="3"/>
  <c r="K118" i="3"/>
  <c r="I118" i="3"/>
  <c r="H118" i="3"/>
  <c r="G118" i="3"/>
  <c r="F118" i="3"/>
  <c r="R117" i="3"/>
  <c r="K117" i="3"/>
  <c r="I117" i="3"/>
  <c r="H117" i="3"/>
  <c r="G117" i="3"/>
  <c r="F117" i="3"/>
  <c r="R116" i="3"/>
  <c r="K116" i="3"/>
  <c r="I116" i="3"/>
  <c r="H116" i="3"/>
  <c r="G116" i="3"/>
  <c r="F116" i="3"/>
  <c r="R115" i="3"/>
  <c r="K115" i="3"/>
  <c r="I115" i="3"/>
  <c r="H115" i="3"/>
  <c r="G115" i="3"/>
  <c r="F115" i="3"/>
  <c r="R114" i="3"/>
  <c r="K114" i="3"/>
  <c r="I114" i="3"/>
  <c r="H114" i="3"/>
  <c r="G114" i="3"/>
  <c r="F114" i="3"/>
  <c r="R113" i="3"/>
  <c r="K113" i="3"/>
  <c r="I113" i="3"/>
  <c r="H113" i="3"/>
  <c r="G113" i="3"/>
  <c r="F113" i="3"/>
  <c r="R112" i="3"/>
  <c r="K112" i="3"/>
  <c r="I112" i="3"/>
  <c r="H112" i="3"/>
  <c r="G112" i="3"/>
  <c r="F112" i="3"/>
  <c r="R111" i="3"/>
  <c r="K111" i="3"/>
  <c r="I111" i="3"/>
  <c r="H111" i="3"/>
  <c r="G111" i="3"/>
  <c r="F111" i="3"/>
  <c r="R110" i="3"/>
  <c r="K110" i="3"/>
  <c r="I110" i="3"/>
  <c r="H110" i="3"/>
  <c r="G110" i="3"/>
  <c r="F110" i="3"/>
  <c r="R109" i="3"/>
  <c r="K109" i="3"/>
  <c r="I109" i="3"/>
  <c r="H109" i="3"/>
  <c r="G109" i="3"/>
  <c r="F109" i="3"/>
  <c r="R108" i="3"/>
  <c r="K108" i="3"/>
  <c r="I108" i="3"/>
  <c r="H108" i="3"/>
  <c r="G108" i="3"/>
  <c r="F108" i="3"/>
  <c r="R107" i="3"/>
  <c r="K107" i="3"/>
  <c r="I107" i="3"/>
  <c r="H107" i="3"/>
  <c r="G107" i="3"/>
  <c r="F107" i="3"/>
  <c r="R106" i="3"/>
  <c r="K106" i="3"/>
  <c r="I106" i="3"/>
  <c r="H106" i="3"/>
  <c r="G106" i="3"/>
  <c r="F106" i="3"/>
  <c r="R105" i="3"/>
  <c r="K105" i="3"/>
  <c r="I105" i="3"/>
  <c r="H105" i="3"/>
  <c r="G105" i="3"/>
  <c r="F105" i="3"/>
  <c r="R104" i="3"/>
  <c r="K104" i="3"/>
  <c r="I104" i="3"/>
  <c r="H104" i="3"/>
  <c r="G104" i="3"/>
  <c r="F104" i="3"/>
  <c r="R103" i="3"/>
  <c r="K103" i="3"/>
  <c r="I103" i="3"/>
  <c r="H103" i="3"/>
  <c r="G103" i="3"/>
  <c r="F103" i="3"/>
  <c r="R102" i="3"/>
  <c r="K102" i="3"/>
  <c r="I102" i="3"/>
  <c r="H102" i="3"/>
  <c r="G102" i="3"/>
  <c r="F102" i="3"/>
  <c r="R101" i="3"/>
  <c r="K101" i="3"/>
  <c r="I101" i="3"/>
  <c r="H101" i="3"/>
  <c r="G101" i="3"/>
  <c r="F101" i="3"/>
  <c r="R100" i="3"/>
  <c r="K100" i="3"/>
  <c r="I100" i="3"/>
  <c r="H100" i="3"/>
  <c r="G100" i="3"/>
  <c r="F100" i="3"/>
  <c r="R99" i="3"/>
  <c r="K99" i="3"/>
  <c r="I99" i="3"/>
  <c r="H99" i="3"/>
  <c r="G99" i="3"/>
  <c r="F99" i="3"/>
  <c r="R98" i="3"/>
  <c r="K98" i="3"/>
  <c r="I98" i="3"/>
  <c r="H98" i="3"/>
  <c r="G98" i="3"/>
  <c r="F98" i="3"/>
  <c r="R97" i="3"/>
  <c r="K97" i="3"/>
  <c r="I97" i="3"/>
  <c r="H97" i="3"/>
  <c r="G97" i="3"/>
  <c r="F97" i="3"/>
  <c r="R96" i="3"/>
  <c r="K96" i="3"/>
  <c r="I96" i="3"/>
  <c r="H96" i="3"/>
  <c r="G96" i="3"/>
  <c r="F96" i="3"/>
  <c r="R95" i="3"/>
  <c r="K95" i="3"/>
  <c r="I95" i="3"/>
  <c r="H95" i="3"/>
  <c r="G95" i="3"/>
  <c r="F95" i="3"/>
  <c r="R94" i="3"/>
  <c r="K94" i="3"/>
  <c r="I94" i="3"/>
  <c r="H94" i="3"/>
  <c r="G94" i="3"/>
  <c r="F94" i="3"/>
  <c r="R93" i="3"/>
  <c r="K93" i="3"/>
  <c r="I93" i="3"/>
  <c r="H93" i="3"/>
  <c r="G93" i="3"/>
  <c r="F93" i="3"/>
  <c r="R92" i="3"/>
  <c r="K92" i="3"/>
  <c r="I92" i="3"/>
  <c r="H92" i="3"/>
  <c r="G92" i="3"/>
  <c r="F92" i="3"/>
  <c r="R91" i="3"/>
  <c r="K91" i="3"/>
  <c r="I91" i="3"/>
  <c r="H91" i="3"/>
  <c r="G91" i="3"/>
  <c r="F91" i="3"/>
  <c r="R90" i="3"/>
  <c r="K90" i="3"/>
  <c r="I90" i="3"/>
  <c r="H90" i="3"/>
  <c r="G90" i="3"/>
  <c r="F90" i="3"/>
  <c r="R89" i="3"/>
  <c r="K89" i="3"/>
  <c r="I89" i="3"/>
  <c r="H89" i="3"/>
  <c r="G89" i="3"/>
  <c r="F89" i="3"/>
  <c r="R88" i="3"/>
  <c r="K88" i="3"/>
  <c r="I88" i="3"/>
  <c r="H88" i="3"/>
  <c r="G88" i="3"/>
  <c r="F88" i="3"/>
  <c r="R87" i="3"/>
  <c r="K87" i="3"/>
  <c r="I87" i="3"/>
  <c r="H87" i="3"/>
  <c r="G87" i="3"/>
  <c r="F87" i="3"/>
  <c r="R86" i="3"/>
  <c r="K86" i="3"/>
  <c r="I86" i="3"/>
  <c r="H86" i="3"/>
  <c r="G86" i="3"/>
  <c r="F86" i="3"/>
  <c r="R85" i="3"/>
  <c r="K85" i="3"/>
  <c r="I85" i="3"/>
  <c r="H85" i="3"/>
  <c r="G85" i="3"/>
  <c r="F85" i="3"/>
  <c r="R84" i="3"/>
  <c r="K84" i="3"/>
  <c r="I84" i="3"/>
  <c r="H84" i="3"/>
  <c r="G84" i="3"/>
  <c r="F84" i="3"/>
  <c r="R83" i="3"/>
  <c r="K83" i="3"/>
  <c r="I83" i="3"/>
  <c r="H83" i="3"/>
  <c r="G83" i="3"/>
  <c r="F83" i="3"/>
  <c r="R82" i="3"/>
  <c r="K82" i="3"/>
  <c r="I82" i="3"/>
  <c r="H82" i="3"/>
  <c r="G82" i="3"/>
  <c r="F82" i="3"/>
  <c r="R81" i="3"/>
  <c r="K81" i="3"/>
  <c r="I81" i="3"/>
  <c r="H81" i="3"/>
  <c r="G81" i="3"/>
  <c r="F81" i="3"/>
  <c r="R80" i="3"/>
  <c r="K80" i="3"/>
  <c r="I80" i="3"/>
  <c r="H80" i="3"/>
  <c r="G80" i="3"/>
  <c r="F80" i="3"/>
  <c r="R79" i="3"/>
  <c r="K79" i="3"/>
  <c r="I79" i="3"/>
  <c r="H79" i="3"/>
  <c r="G79" i="3"/>
  <c r="F79" i="3"/>
  <c r="R78" i="3"/>
  <c r="K78" i="3"/>
  <c r="I78" i="3"/>
  <c r="H78" i="3"/>
  <c r="G78" i="3"/>
  <c r="F78" i="3"/>
  <c r="R77" i="3"/>
  <c r="K77" i="3"/>
  <c r="I77" i="3"/>
  <c r="H77" i="3"/>
  <c r="G77" i="3"/>
  <c r="F77" i="3"/>
  <c r="R76" i="3"/>
  <c r="K76" i="3"/>
  <c r="I76" i="3"/>
  <c r="H76" i="3"/>
  <c r="G76" i="3"/>
  <c r="F76" i="3"/>
  <c r="R75" i="3"/>
  <c r="K75" i="3"/>
  <c r="I75" i="3"/>
  <c r="H75" i="3"/>
  <c r="G75" i="3"/>
  <c r="F75" i="3"/>
  <c r="R74" i="3"/>
  <c r="K74" i="3"/>
  <c r="I74" i="3"/>
  <c r="H74" i="3"/>
  <c r="G74" i="3"/>
  <c r="F74" i="3"/>
  <c r="R73" i="3"/>
  <c r="K73" i="3"/>
  <c r="I73" i="3"/>
  <c r="H73" i="3"/>
  <c r="G73" i="3"/>
  <c r="F73" i="3"/>
  <c r="R72" i="3"/>
  <c r="K72" i="3"/>
  <c r="I72" i="3"/>
  <c r="H72" i="3"/>
  <c r="G72" i="3"/>
  <c r="F72" i="3"/>
  <c r="R71" i="3"/>
  <c r="K71" i="3"/>
  <c r="I71" i="3"/>
  <c r="H71" i="3"/>
  <c r="G71" i="3"/>
  <c r="F71" i="3"/>
  <c r="R70" i="3"/>
  <c r="K70" i="3"/>
  <c r="I70" i="3"/>
  <c r="H70" i="3"/>
  <c r="G70" i="3"/>
  <c r="F70" i="3"/>
  <c r="R69" i="3"/>
  <c r="K69" i="3"/>
  <c r="I69" i="3"/>
  <c r="H69" i="3"/>
  <c r="G69" i="3"/>
  <c r="F69" i="3"/>
  <c r="R68" i="3"/>
  <c r="K68" i="3"/>
  <c r="I68" i="3"/>
  <c r="H68" i="3"/>
  <c r="G68" i="3"/>
  <c r="F68" i="3"/>
  <c r="R67" i="3"/>
  <c r="K67" i="3"/>
  <c r="I67" i="3"/>
  <c r="H67" i="3"/>
  <c r="G67" i="3"/>
  <c r="F67" i="3"/>
  <c r="R66" i="3"/>
  <c r="K66" i="3"/>
  <c r="I66" i="3"/>
  <c r="H66" i="3"/>
  <c r="G66" i="3"/>
  <c r="F66" i="3"/>
  <c r="R65" i="3"/>
  <c r="K65" i="3"/>
  <c r="I65" i="3"/>
  <c r="H65" i="3"/>
  <c r="G65" i="3"/>
  <c r="F65" i="3"/>
  <c r="R64" i="3"/>
  <c r="K64" i="3"/>
  <c r="I64" i="3"/>
  <c r="H64" i="3"/>
  <c r="G64" i="3"/>
  <c r="F64" i="3"/>
  <c r="R63" i="3"/>
  <c r="K63" i="3"/>
  <c r="I63" i="3"/>
  <c r="H63" i="3"/>
  <c r="G63" i="3"/>
  <c r="F63" i="3"/>
  <c r="R62" i="3"/>
  <c r="K62" i="3"/>
  <c r="I62" i="3"/>
  <c r="H62" i="3"/>
  <c r="G62" i="3"/>
  <c r="F62" i="3"/>
  <c r="R61" i="3"/>
  <c r="K61" i="3"/>
  <c r="I61" i="3"/>
  <c r="H61" i="3"/>
  <c r="G61" i="3"/>
  <c r="F61" i="3"/>
  <c r="R60" i="3"/>
  <c r="K60" i="3"/>
  <c r="I60" i="3"/>
  <c r="H60" i="3"/>
  <c r="G60" i="3"/>
  <c r="F60" i="3"/>
  <c r="R59" i="3"/>
  <c r="K59" i="3"/>
  <c r="I59" i="3"/>
  <c r="H59" i="3"/>
  <c r="G59" i="3"/>
  <c r="F59" i="3"/>
  <c r="R58" i="3"/>
  <c r="K58" i="3"/>
  <c r="I58" i="3"/>
  <c r="H58" i="3"/>
  <c r="G58" i="3"/>
  <c r="F58" i="3"/>
  <c r="R57" i="3"/>
  <c r="K57" i="3"/>
  <c r="I57" i="3"/>
  <c r="H57" i="3"/>
  <c r="G57" i="3"/>
  <c r="F57" i="3"/>
  <c r="R56" i="3"/>
  <c r="K56" i="3"/>
  <c r="I56" i="3"/>
  <c r="H56" i="3"/>
  <c r="G56" i="3"/>
  <c r="F56" i="3"/>
  <c r="R55" i="3"/>
  <c r="K55" i="3"/>
  <c r="I55" i="3"/>
  <c r="H55" i="3"/>
  <c r="G55" i="3"/>
  <c r="F55" i="3"/>
  <c r="R54" i="3"/>
  <c r="K54" i="3"/>
  <c r="I54" i="3"/>
  <c r="H54" i="3"/>
  <c r="G54" i="3"/>
  <c r="F54" i="3"/>
  <c r="R53" i="3"/>
  <c r="K53" i="3"/>
  <c r="I53" i="3"/>
  <c r="H53" i="3"/>
  <c r="G53" i="3"/>
  <c r="F53" i="3"/>
  <c r="R52" i="3"/>
  <c r="K52" i="3"/>
  <c r="I52" i="3"/>
  <c r="H52" i="3"/>
  <c r="G52" i="3"/>
  <c r="F52" i="3"/>
  <c r="R51" i="3"/>
  <c r="K51" i="3"/>
  <c r="I51" i="3"/>
  <c r="H51" i="3"/>
  <c r="G51" i="3"/>
  <c r="F51" i="3"/>
  <c r="R50" i="3"/>
  <c r="K50" i="3"/>
  <c r="I50" i="3"/>
  <c r="H50" i="3"/>
  <c r="G50" i="3"/>
  <c r="F50" i="3"/>
  <c r="R49" i="3"/>
  <c r="K49" i="3"/>
  <c r="I49" i="3"/>
  <c r="H49" i="3"/>
  <c r="G49" i="3"/>
  <c r="F49" i="3"/>
  <c r="R48" i="3"/>
  <c r="K48" i="3"/>
  <c r="I48" i="3"/>
  <c r="H48" i="3"/>
  <c r="G48" i="3"/>
  <c r="F48" i="3"/>
  <c r="R47" i="3"/>
  <c r="K47" i="3"/>
  <c r="I47" i="3"/>
  <c r="H47" i="3"/>
  <c r="G47" i="3"/>
  <c r="F47" i="3"/>
  <c r="R46" i="3"/>
  <c r="K46" i="3"/>
  <c r="I46" i="3"/>
  <c r="H46" i="3"/>
  <c r="G46" i="3"/>
  <c r="F46" i="3"/>
  <c r="R45" i="3"/>
  <c r="K45" i="3"/>
  <c r="I45" i="3"/>
  <c r="H45" i="3"/>
  <c r="G45" i="3"/>
  <c r="F45" i="3"/>
  <c r="R44" i="3"/>
  <c r="K44" i="3"/>
  <c r="I44" i="3"/>
  <c r="H44" i="3"/>
  <c r="G44" i="3"/>
  <c r="F44" i="3"/>
  <c r="R43" i="3"/>
  <c r="K43" i="3"/>
  <c r="I43" i="3"/>
  <c r="H43" i="3"/>
  <c r="G43" i="3"/>
  <c r="F43" i="3"/>
  <c r="R42" i="3"/>
  <c r="K42" i="3"/>
  <c r="I42" i="3"/>
  <c r="H42" i="3"/>
  <c r="G42" i="3"/>
  <c r="F42" i="3"/>
  <c r="R41" i="3"/>
  <c r="K41" i="3"/>
  <c r="I41" i="3"/>
  <c r="H41" i="3"/>
  <c r="G41" i="3"/>
  <c r="F41" i="3"/>
  <c r="R40" i="3"/>
  <c r="K40" i="3"/>
  <c r="I40" i="3"/>
  <c r="H40" i="3"/>
  <c r="G40" i="3"/>
  <c r="F40" i="3"/>
  <c r="R39" i="3"/>
  <c r="K39" i="3"/>
  <c r="I39" i="3"/>
  <c r="H39" i="3"/>
  <c r="G39" i="3"/>
  <c r="F39" i="3"/>
  <c r="R38" i="3"/>
  <c r="K38" i="3"/>
  <c r="I38" i="3"/>
  <c r="H38" i="3"/>
  <c r="G38" i="3"/>
  <c r="F38" i="3"/>
  <c r="R37" i="3"/>
  <c r="K37" i="3"/>
  <c r="I37" i="3"/>
  <c r="H37" i="3"/>
  <c r="G37" i="3"/>
  <c r="F37" i="3"/>
  <c r="R36" i="3"/>
  <c r="K36" i="3"/>
  <c r="I36" i="3"/>
  <c r="H36" i="3"/>
  <c r="G36" i="3"/>
  <c r="F36" i="3"/>
  <c r="R35" i="3"/>
  <c r="K35" i="3"/>
  <c r="I35" i="3"/>
  <c r="H35" i="3"/>
  <c r="G35" i="3"/>
  <c r="F35" i="3"/>
  <c r="R34" i="3"/>
  <c r="K34" i="3"/>
  <c r="I34" i="3"/>
  <c r="H34" i="3"/>
  <c r="G34" i="3"/>
  <c r="F34" i="3"/>
  <c r="R33" i="3"/>
  <c r="K33" i="3"/>
  <c r="I33" i="3"/>
  <c r="H33" i="3"/>
  <c r="G33" i="3"/>
  <c r="F33" i="3"/>
  <c r="R32" i="3"/>
  <c r="K32" i="3"/>
  <c r="I32" i="3"/>
  <c r="H32" i="3"/>
  <c r="G32" i="3"/>
  <c r="F32" i="3"/>
  <c r="R31" i="3"/>
  <c r="K31" i="3"/>
  <c r="I31" i="3"/>
  <c r="H31" i="3"/>
  <c r="G31" i="3"/>
  <c r="F31" i="3"/>
  <c r="R30" i="3"/>
  <c r="K30" i="3"/>
  <c r="I30" i="3"/>
  <c r="H30" i="3"/>
  <c r="G30" i="3"/>
  <c r="F30" i="3"/>
  <c r="R29" i="3"/>
  <c r="K29" i="3"/>
  <c r="I29" i="3"/>
  <c r="H29" i="3"/>
  <c r="G29" i="3"/>
  <c r="F29" i="3"/>
  <c r="R28" i="3"/>
  <c r="K28" i="3"/>
  <c r="I28" i="3"/>
  <c r="H28" i="3"/>
  <c r="G28" i="3"/>
  <c r="F28" i="3"/>
  <c r="R27" i="3"/>
  <c r="K27" i="3"/>
  <c r="I27" i="3"/>
  <c r="H27" i="3"/>
  <c r="G27" i="3"/>
  <c r="F27" i="3"/>
  <c r="R26" i="3"/>
  <c r="K26" i="3"/>
  <c r="I26" i="3"/>
  <c r="H26" i="3"/>
  <c r="G26" i="3"/>
  <c r="F26" i="3"/>
  <c r="R25" i="3"/>
  <c r="K25" i="3"/>
  <c r="I25" i="3"/>
  <c r="H25" i="3"/>
  <c r="G25" i="3"/>
  <c r="F25" i="3"/>
  <c r="R24" i="3"/>
  <c r="K24" i="3"/>
  <c r="I24" i="3"/>
  <c r="H24" i="3"/>
  <c r="G24" i="3"/>
  <c r="F24" i="3"/>
  <c r="R23" i="3"/>
  <c r="K23" i="3"/>
  <c r="I23" i="3"/>
  <c r="H23" i="3"/>
  <c r="G23" i="3"/>
  <c r="F23" i="3"/>
  <c r="R22" i="3"/>
  <c r="K22" i="3"/>
  <c r="I22" i="3"/>
  <c r="H22" i="3"/>
  <c r="G22" i="3"/>
  <c r="F22" i="3"/>
  <c r="R21" i="3"/>
  <c r="K21" i="3"/>
  <c r="I21" i="3"/>
  <c r="H21" i="3"/>
  <c r="G21" i="3"/>
  <c r="F21" i="3"/>
  <c r="R20" i="3"/>
  <c r="O20" i="3"/>
  <c r="K20" i="3"/>
  <c r="I20" i="3"/>
  <c r="H20" i="3"/>
  <c r="G20" i="3"/>
  <c r="F20" i="3"/>
  <c r="R19" i="3"/>
  <c r="O19" i="3"/>
  <c r="K19" i="3"/>
  <c r="I19" i="3"/>
  <c r="H19" i="3"/>
  <c r="G19" i="3"/>
  <c r="F19" i="3"/>
  <c r="R18" i="3"/>
  <c r="K18" i="3"/>
  <c r="I18" i="3"/>
  <c r="H18" i="3"/>
  <c r="G18" i="3"/>
  <c r="F18" i="3"/>
  <c r="R17" i="3"/>
  <c r="K17" i="3"/>
  <c r="I17" i="3"/>
  <c r="H17" i="3"/>
  <c r="G17" i="3"/>
  <c r="F17" i="3"/>
  <c r="R16" i="3"/>
  <c r="K16" i="3"/>
  <c r="I16" i="3"/>
  <c r="H16" i="3"/>
  <c r="G16" i="3"/>
  <c r="F16" i="3"/>
  <c r="R15" i="3"/>
  <c r="K15" i="3"/>
  <c r="I15" i="3"/>
  <c r="H15" i="3"/>
  <c r="G15" i="3"/>
  <c r="F15" i="3"/>
  <c r="R14" i="3"/>
  <c r="K14" i="3"/>
  <c r="I14" i="3"/>
  <c r="H14" i="3"/>
  <c r="G14" i="3"/>
  <c r="F14" i="3"/>
  <c r="R13" i="3"/>
  <c r="K13" i="3"/>
  <c r="I13" i="3"/>
  <c r="H13" i="3"/>
  <c r="G13" i="3"/>
  <c r="F13" i="3"/>
  <c r="R12" i="3"/>
  <c r="K12" i="3"/>
  <c r="I12" i="3"/>
  <c r="H12" i="3"/>
  <c r="G12" i="3"/>
  <c r="F12" i="3"/>
  <c r="R11" i="3"/>
  <c r="K11" i="3"/>
  <c r="I11" i="3"/>
  <c r="H11" i="3"/>
  <c r="G11" i="3"/>
  <c r="F11" i="3"/>
  <c r="R10" i="3"/>
  <c r="K10" i="3"/>
  <c r="I10" i="3"/>
  <c r="H10" i="3"/>
  <c r="G10" i="3"/>
  <c r="F10" i="3"/>
  <c r="R9" i="3"/>
  <c r="K9" i="3"/>
  <c r="I9" i="3"/>
  <c r="H9" i="3"/>
  <c r="G9" i="3"/>
  <c r="F9" i="3"/>
  <c r="R8" i="3"/>
  <c r="K8" i="3"/>
  <c r="I8" i="3"/>
  <c r="H8" i="3"/>
  <c r="G8" i="3"/>
  <c r="F8" i="3"/>
  <c r="R7" i="3"/>
  <c r="K7" i="3"/>
  <c r="I7" i="3"/>
  <c r="H7" i="3"/>
  <c r="G7" i="3"/>
  <c r="F7" i="3"/>
  <c r="R6" i="3"/>
  <c r="K6" i="3"/>
  <c r="I6" i="3"/>
  <c r="H6" i="3"/>
  <c r="G6" i="3"/>
  <c r="F6" i="3"/>
  <c r="R5" i="3"/>
  <c r="K5" i="3"/>
  <c r="I5" i="3"/>
  <c r="H5" i="3"/>
  <c r="G5" i="3"/>
  <c r="F5" i="3"/>
  <c r="R4" i="3"/>
  <c r="K4" i="3"/>
  <c r="I4" i="3"/>
  <c r="H4" i="3"/>
  <c r="G4" i="3"/>
  <c r="F4" i="3"/>
  <c r="K164" i="2"/>
  <c r="I164" i="2"/>
  <c r="Q163" i="2"/>
  <c r="K163" i="2"/>
  <c r="O163" i="2" s="1"/>
  <c r="I163" i="2"/>
  <c r="Q162" i="2"/>
  <c r="K162" i="2"/>
  <c r="O162" i="2" s="1"/>
  <c r="I162" i="2"/>
  <c r="Q161" i="2"/>
  <c r="K161" i="2"/>
  <c r="I161" i="2"/>
  <c r="Q160" i="2"/>
  <c r="K160" i="2"/>
  <c r="O160" i="2" s="1"/>
  <c r="I160" i="2"/>
  <c r="Q159" i="2"/>
  <c r="K159" i="2"/>
  <c r="O159" i="2" s="1"/>
  <c r="I159" i="2"/>
  <c r="Q158" i="2"/>
  <c r="K158" i="2"/>
  <c r="O158" i="2" s="1"/>
  <c r="I158" i="2"/>
  <c r="Q157" i="2"/>
  <c r="K157" i="2"/>
  <c r="O157" i="2" s="1"/>
  <c r="I157" i="2"/>
  <c r="Q156" i="2"/>
  <c r="K156" i="2"/>
  <c r="O156" i="2" s="1"/>
  <c r="I156" i="2"/>
  <c r="Q155" i="2"/>
  <c r="K155" i="2"/>
  <c r="O155" i="2" s="1"/>
  <c r="I155" i="2"/>
  <c r="Q154" i="2"/>
  <c r="K154" i="2"/>
  <c r="O154" i="2" s="1"/>
  <c r="I154" i="2"/>
  <c r="Q153" i="2"/>
  <c r="K153" i="2"/>
  <c r="O153" i="2" s="1"/>
  <c r="I153" i="2"/>
  <c r="Q152" i="2"/>
  <c r="K152" i="2"/>
  <c r="O152" i="2" s="1"/>
  <c r="I152" i="2"/>
  <c r="Q151" i="2"/>
  <c r="K151" i="2"/>
  <c r="O151" i="2" s="1"/>
  <c r="I151" i="2"/>
  <c r="Q150" i="2"/>
  <c r="K150" i="2"/>
  <c r="O150" i="2" s="1"/>
  <c r="I150" i="2"/>
  <c r="Q149" i="2"/>
  <c r="K149" i="2"/>
  <c r="O149" i="2" s="1"/>
  <c r="I149" i="2"/>
  <c r="Q148" i="2"/>
  <c r="K148" i="2"/>
  <c r="O148" i="2" s="1"/>
  <c r="I148" i="2"/>
  <c r="Q147" i="2"/>
  <c r="K147" i="2"/>
  <c r="O147" i="2" s="1"/>
  <c r="I147" i="2"/>
  <c r="Q146" i="2"/>
  <c r="O147" i="6" s="1"/>
  <c r="K146" i="2"/>
  <c r="I146" i="2"/>
  <c r="Q145" i="2"/>
  <c r="O146" i="6" s="1"/>
  <c r="K145" i="2"/>
  <c r="I145" i="2"/>
  <c r="Q144" i="2"/>
  <c r="O145" i="6" s="1"/>
  <c r="K144" i="2"/>
  <c r="I144" i="2"/>
  <c r="Q143" i="2"/>
  <c r="O144" i="6" s="1"/>
  <c r="K143" i="2"/>
  <c r="I143" i="2"/>
  <c r="Q142" i="2"/>
  <c r="O143" i="6" s="1"/>
  <c r="K142" i="2"/>
  <c r="I142" i="2"/>
  <c r="Q141" i="2"/>
  <c r="O142" i="6" s="1"/>
  <c r="K141" i="2"/>
  <c r="I141" i="2"/>
  <c r="Q140" i="2"/>
  <c r="O141" i="6" s="1"/>
  <c r="K140" i="2"/>
  <c r="I140" i="2"/>
  <c r="Q139" i="2"/>
  <c r="O140" i="6" s="1"/>
  <c r="K139" i="2"/>
  <c r="I139" i="2"/>
  <c r="Q138" i="2"/>
  <c r="O139" i="6" s="1"/>
  <c r="K138" i="2"/>
  <c r="I138" i="2"/>
  <c r="Q137" i="2"/>
  <c r="O138" i="6" s="1"/>
  <c r="K137" i="2"/>
  <c r="I137" i="2"/>
  <c r="Q136" i="2"/>
  <c r="O137" i="6" s="1"/>
  <c r="K136" i="2"/>
  <c r="I136" i="2"/>
  <c r="Q135" i="2"/>
  <c r="O136" i="6" s="1"/>
  <c r="K135" i="2"/>
  <c r="I135" i="2"/>
  <c r="Q134" i="2"/>
  <c r="O135" i="6" s="1"/>
  <c r="K134" i="2"/>
  <c r="I134" i="2"/>
  <c r="Q133" i="2"/>
  <c r="O134" i="6" s="1"/>
  <c r="K133" i="2"/>
  <c r="I133" i="2"/>
  <c r="Q132" i="2"/>
  <c r="O133" i="6" s="1"/>
  <c r="K132" i="2"/>
  <c r="I132" i="2"/>
  <c r="Q131" i="2"/>
  <c r="O132" i="6" s="1"/>
  <c r="K131" i="2"/>
  <c r="I131" i="2"/>
  <c r="Q130" i="2"/>
  <c r="O131" i="6" s="1"/>
  <c r="K130" i="2"/>
  <c r="I130" i="2"/>
  <c r="Q129" i="2"/>
  <c r="O130" i="6" s="1"/>
  <c r="K129" i="2"/>
  <c r="I129" i="2"/>
  <c r="Q128" i="2"/>
  <c r="O129" i="6" s="1"/>
  <c r="K128" i="2"/>
  <c r="I128" i="2"/>
  <c r="Q127" i="2"/>
  <c r="O128" i="6" s="1"/>
  <c r="K127" i="2"/>
  <c r="I127" i="2"/>
  <c r="Q126" i="2"/>
  <c r="O127" i="6" s="1"/>
  <c r="K126" i="2"/>
  <c r="I126" i="2"/>
  <c r="Q125" i="2"/>
  <c r="O126" i="6" s="1"/>
  <c r="K125" i="2"/>
  <c r="I125" i="2"/>
  <c r="Q124" i="2"/>
  <c r="O125" i="6" s="1"/>
  <c r="K124" i="2"/>
  <c r="I124" i="2"/>
  <c r="Q123" i="2"/>
  <c r="O124" i="6" s="1"/>
  <c r="K123" i="2"/>
  <c r="I123" i="2"/>
  <c r="Q122" i="2"/>
  <c r="O123" i="6" s="1"/>
  <c r="K122" i="2"/>
  <c r="I122" i="2"/>
  <c r="Q121" i="2"/>
  <c r="O122" i="6" s="1"/>
  <c r="K121" i="2"/>
  <c r="I121" i="2"/>
  <c r="Q120" i="2"/>
  <c r="O121" i="6" s="1"/>
  <c r="K120" i="2"/>
  <c r="I120" i="2"/>
  <c r="Q119" i="2"/>
  <c r="O120" i="6" s="1"/>
  <c r="K119" i="2"/>
  <c r="I119" i="2"/>
  <c r="Q118" i="2"/>
  <c r="O119" i="6" s="1"/>
  <c r="K118" i="2"/>
  <c r="I118" i="2"/>
  <c r="Q117" i="2"/>
  <c r="O118" i="6" s="1"/>
  <c r="K117" i="2"/>
  <c r="I117" i="2"/>
  <c r="Q116" i="2"/>
  <c r="O117" i="6" s="1"/>
  <c r="K116" i="2"/>
  <c r="I116" i="2"/>
  <c r="Q115" i="2"/>
  <c r="O116" i="6" s="1"/>
  <c r="K115" i="2"/>
  <c r="I115" i="2"/>
  <c r="Q114" i="2"/>
  <c r="O115" i="6" s="1"/>
  <c r="K114" i="2"/>
  <c r="I114" i="2"/>
  <c r="Q113" i="2"/>
  <c r="O114" i="6" s="1"/>
  <c r="K113" i="2"/>
  <c r="I113" i="2"/>
  <c r="Q112" i="2"/>
  <c r="O113" i="6" s="1"/>
  <c r="K112" i="2"/>
  <c r="I112" i="2"/>
  <c r="Q111" i="2"/>
  <c r="O112" i="6" s="1"/>
  <c r="K111" i="2"/>
  <c r="I111" i="2"/>
  <c r="Q110" i="2"/>
  <c r="O111" i="6" s="1"/>
  <c r="K110" i="2"/>
  <c r="I110" i="2"/>
  <c r="Q109" i="2"/>
  <c r="O110" i="6" s="1"/>
  <c r="K109" i="2"/>
  <c r="I109" i="2"/>
  <c r="Q108" i="2"/>
  <c r="O109" i="6" s="1"/>
  <c r="K108" i="2"/>
  <c r="I108" i="2"/>
  <c r="Q107" i="2"/>
  <c r="O108" i="6" s="1"/>
  <c r="K107" i="2"/>
  <c r="I107" i="2"/>
  <c r="Q106" i="2"/>
  <c r="O107" i="6" s="1"/>
  <c r="K106" i="2"/>
  <c r="I106" i="2"/>
  <c r="Q105" i="2"/>
  <c r="O106" i="6" s="1"/>
  <c r="K105" i="2"/>
  <c r="I105" i="2"/>
  <c r="Q104" i="2"/>
  <c r="O105" i="6" s="1"/>
  <c r="K104" i="2"/>
  <c r="I104" i="2"/>
  <c r="Q103" i="2"/>
  <c r="O104" i="6" s="1"/>
  <c r="K103" i="2"/>
  <c r="I103" i="2"/>
  <c r="Q102" i="2"/>
  <c r="O103" i="6" s="1"/>
  <c r="K102" i="2"/>
  <c r="I102" i="2"/>
  <c r="Q101" i="2"/>
  <c r="O102" i="6" s="1"/>
  <c r="K101" i="2"/>
  <c r="I101" i="2"/>
  <c r="Q100" i="2"/>
  <c r="O101" i="6" s="1"/>
  <c r="K100" i="2"/>
  <c r="I100" i="2"/>
  <c r="Q99" i="2"/>
  <c r="O100" i="6" s="1"/>
  <c r="K99" i="2"/>
  <c r="I99" i="2"/>
  <c r="Q98" i="2"/>
  <c r="O99" i="6" s="1"/>
  <c r="K98" i="2"/>
  <c r="I98" i="2"/>
  <c r="Q97" i="2"/>
  <c r="O98" i="6" s="1"/>
  <c r="K97" i="2"/>
  <c r="I97" i="2"/>
  <c r="Q96" i="2"/>
  <c r="O97" i="6" s="1"/>
  <c r="K96" i="2"/>
  <c r="I96" i="2"/>
  <c r="Q95" i="2"/>
  <c r="O96" i="6" s="1"/>
  <c r="K95" i="2"/>
  <c r="I95" i="2"/>
  <c r="Q94" i="2"/>
  <c r="O95" i="6" s="1"/>
  <c r="K94" i="2"/>
  <c r="I94" i="2"/>
  <c r="Q93" i="2"/>
  <c r="O94" i="6" s="1"/>
  <c r="K93" i="2"/>
  <c r="I93" i="2"/>
  <c r="Q92" i="2"/>
  <c r="O93" i="6" s="1"/>
  <c r="K92" i="2"/>
  <c r="I92" i="2"/>
  <c r="Q91" i="2"/>
  <c r="O92" i="6" s="1"/>
  <c r="K91" i="2"/>
  <c r="I91" i="2"/>
  <c r="Q90" i="2"/>
  <c r="O91" i="6" s="1"/>
  <c r="K90" i="2"/>
  <c r="I90" i="2"/>
  <c r="Q89" i="2"/>
  <c r="O90" i="6" s="1"/>
  <c r="K89" i="2"/>
  <c r="I89" i="2"/>
  <c r="Q88" i="2"/>
  <c r="O89" i="6" s="1"/>
  <c r="K88" i="2"/>
  <c r="I88" i="2"/>
  <c r="Q87" i="2"/>
  <c r="O88" i="6" s="1"/>
  <c r="K87" i="2"/>
  <c r="I87" i="2"/>
  <c r="Q86" i="2"/>
  <c r="O87" i="6" s="1"/>
  <c r="K86" i="2"/>
  <c r="I86" i="2"/>
  <c r="Q85" i="2"/>
  <c r="O86" i="6" s="1"/>
  <c r="K85" i="2"/>
  <c r="I85" i="2"/>
  <c r="Q84" i="2"/>
  <c r="O85" i="6" s="1"/>
  <c r="K84" i="2"/>
  <c r="I84" i="2"/>
  <c r="Q83" i="2"/>
  <c r="O84" i="6" s="1"/>
  <c r="K83" i="2"/>
  <c r="I83" i="2"/>
  <c r="Q82" i="2"/>
  <c r="O83" i="6" s="1"/>
  <c r="K82" i="2"/>
  <c r="I82" i="2"/>
  <c r="Q81" i="2"/>
  <c r="O82" i="6" s="1"/>
  <c r="K81" i="2"/>
  <c r="I81" i="2"/>
  <c r="Q80" i="2"/>
  <c r="O81" i="6" s="1"/>
  <c r="K80" i="2"/>
  <c r="I80" i="2"/>
  <c r="Q79" i="2"/>
  <c r="O80" i="6" s="1"/>
  <c r="K79" i="2"/>
  <c r="I79" i="2"/>
  <c r="Q78" i="2"/>
  <c r="O79" i="6" s="1"/>
  <c r="K78" i="2"/>
  <c r="I78" i="2"/>
  <c r="Q77" i="2"/>
  <c r="O78" i="6" s="1"/>
  <c r="K77" i="2"/>
  <c r="I77" i="2"/>
  <c r="Q76" i="2"/>
  <c r="O77" i="6" s="1"/>
  <c r="K76" i="2"/>
  <c r="I76" i="2"/>
  <c r="Q75" i="2"/>
  <c r="O76" i="6" s="1"/>
  <c r="K75" i="2"/>
  <c r="I75" i="2"/>
  <c r="Q74" i="2"/>
  <c r="O75" i="6" s="1"/>
  <c r="K74" i="2"/>
  <c r="I74" i="2"/>
  <c r="Q73" i="2"/>
  <c r="O74" i="6" s="1"/>
  <c r="K73" i="2"/>
  <c r="I73" i="2"/>
  <c r="Q72" i="2"/>
  <c r="O73" i="6" s="1"/>
  <c r="K72" i="2"/>
  <c r="I72" i="2"/>
  <c r="Q71" i="2"/>
  <c r="O72" i="6" s="1"/>
  <c r="K71" i="2"/>
  <c r="I71" i="2"/>
  <c r="Q70" i="2"/>
  <c r="O71" i="6" s="1"/>
  <c r="K70" i="2"/>
  <c r="I70" i="2"/>
  <c r="Q69" i="2"/>
  <c r="O70" i="6" s="1"/>
  <c r="K69" i="2"/>
  <c r="I69" i="2"/>
  <c r="Q68" i="2"/>
  <c r="O69" i="6" s="1"/>
  <c r="K68" i="2"/>
  <c r="I68" i="2"/>
  <c r="Q67" i="2"/>
  <c r="O68" i="6" s="1"/>
  <c r="K67" i="2"/>
  <c r="I67" i="2"/>
  <c r="Q66" i="2"/>
  <c r="O67" i="6" s="1"/>
  <c r="K66" i="2"/>
  <c r="I66" i="2"/>
  <c r="Q65" i="2"/>
  <c r="O66" i="6" s="1"/>
  <c r="K65" i="2"/>
  <c r="I65" i="2"/>
  <c r="Q64" i="2"/>
  <c r="O65" i="6" s="1"/>
  <c r="K64" i="2"/>
  <c r="I64" i="2"/>
  <c r="Q63" i="2"/>
  <c r="O64" i="6" s="1"/>
  <c r="K63" i="2"/>
  <c r="I63" i="2"/>
  <c r="Q62" i="2"/>
  <c r="O63" i="6" s="1"/>
  <c r="K62" i="2"/>
  <c r="I62" i="2"/>
  <c r="Q61" i="2"/>
  <c r="O62" i="6" s="1"/>
  <c r="K61" i="2"/>
  <c r="I61" i="2"/>
  <c r="Q60" i="2"/>
  <c r="O61" i="6" s="1"/>
  <c r="K60" i="2"/>
  <c r="I60" i="2"/>
  <c r="Q59" i="2"/>
  <c r="O60" i="6" s="1"/>
  <c r="K59" i="2"/>
  <c r="I59" i="2"/>
  <c r="Q58" i="2"/>
  <c r="O59" i="6" s="1"/>
  <c r="K58" i="2"/>
  <c r="I58" i="2"/>
  <c r="Q57" i="2"/>
  <c r="O58" i="6" s="1"/>
  <c r="K57" i="2"/>
  <c r="I57" i="2"/>
  <c r="Q56" i="2"/>
  <c r="O57" i="6" s="1"/>
  <c r="K56" i="2"/>
  <c r="I56" i="2"/>
  <c r="Q55" i="2"/>
  <c r="O56" i="6" s="1"/>
  <c r="K55" i="2"/>
  <c r="I55" i="2"/>
  <c r="Q54" i="2"/>
  <c r="O55" i="6" s="1"/>
  <c r="K54" i="2"/>
  <c r="I54" i="2"/>
  <c r="Q53" i="2"/>
  <c r="O54" i="6" s="1"/>
  <c r="K53" i="2"/>
  <c r="I53" i="2"/>
  <c r="Q52" i="2"/>
  <c r="O53" i="6" s="1"/>
  <c r="K52" i="2"/>
  <c r="I52" i="2"/>
  <c r="Q51" i="2"/>
  <c r="O52" i="6" s="1"/>
  <c r="K51" i="2"/>
  <c r="I51" i="2"/>
  <c r="Q50" i="2"/>
  <c r="O51" i="6" s="1"/>
  <c r="K50" i="2"/>
  <c r="I50" i="2"/>
  <c r="Q49" i="2"/>
  <c r="O50" i="6" s="1"/>
  <c r="K49" i="2"/>
  <c r="I49" i="2"/>
  <c r="Q48" i="2"/>
  <c r="O49" i="6" s="1"/>
  <c r="K48" i="2"/>
  <c r="I48" i="2"/>
  <c r="Q47" i="2"/>
  <c r="O48" i="6" s="1"/>
  <c r="K47" i="2"/>
  <c r="I47" i="2"/>
  <c r="Q46" i="2"/>
  <c r="O47" i="6" s="1"/>
  <c r="K46" i="2"/>
  <c r="I46" i="2"/>
  <c r="Q45" i="2"/>
  <c r="O46" i="6" s="1"/>
  <c r="K45" i="2"/>
  <c r="I45" i="2"/>
  <c r="Q44" i="2"/>
  <c r="O45" i="6" s="1"/>
  <c r="K44" i="2"/>
  <c r="I44" i="2"/>
  <c r="Q43" i="2"/>
  <c r="O44" i="6" s="1"/>
  <c r="K43" i="2"/>
  <c r="I43" i="2"/>
  <c r="Q42" i="2"/>
  <c r="O43" i="6" s="1"/>
  <c r="K42" i="2"/>
  <c r="I42" i="2"/>
  <c r="Q41" i="2"/>
  <c r="O42" i="6" s="1"/>
  <c r="K41" i="2"/>
  <c r="I41" i="2"/>
  <c r="Q40" i="2"/>
  <c r="O41" i="6" s="1"/>
  <c r="K40" i="2"/>
  <c r="I40" i="2"/>
  <c r="Q39" i="2"/>
  <c r="O40" i="6" s="1"/>
  <c r="K39" i="2"/>
  <c r="I39" i="2"/>
  <c r="Q38" i="2"/>
  <c r="O39" i="6" s="1"/>
  <c r="K38" i="2"/>
  <c r="I38" i="2"/>
  <c r="Q37" i="2"/>
  <c r="O38" i="6" s="1"/>
  <c r="K37" i="2"/>
  <c r="I37" i="2"/>
  <c r="Q36" i="2"/>
  <c r="O37" i="6" s="1"/>
  <c r="K36" i="2"/>
  <c r="I36" i="2"/>
  <c r="Q35" i="2"/>
  <c r="O36" i="6" s="1"/>
  <c r="K35" i="2"/>
  <c r="I35" i="2"/>
  <c r="Q34" i="2"/>
  <c r="O35" i="6" s="1"/>
  <c r="K34" i="2"/>
  <c r="I34" i="2"/>
  <c r="Q33" i="2"/>
  <c r="O34" i="6" s="1"/>
  <c r="K33" i="2"/>
  <c r="I33" i="2"/>
  <c r="Q32" i="2"/>
  <c r="O33" i="6" s="1"/>
  <c r="K32" i="2"/>
  <c r="I32" i="2"/>
  <c r="Q31" i="2"/>
  <c r="O32" i="6" s="1"/>
  <c r="K31" i="2"/>
  <c r="I31" i="2"/>
  <c r="Q30" i="2"/>
  <c r="O31" i="6" s="1"/>
  <c r="K30" i="2"/>
  <c r="I30" i="2"/>
  <c r="Q29" i="2"/>
  <c r="O30" i="6" s="1"/>
  <c r="K29" i="2"/>
  <c r="I29" i="2"/>
  <c r="Q28" i="2"/>
  <c r="O29" i="6" s="1"/>
  <c r="K28" i="2"/>
  <c r="I28" i="2"/>
  <c r="Q27" i="2"/>
  <c r="O28" i="6" s="1"/>
  <c r="K27" i="2"/>
  <c r="I27" i="2"/>
  <c r="Q26" i="2"/>
  <c r="O27" i="6" s="1"/>
  <c r="K26" i="2"/>
  <c r="I26" i="2"/>
  <c r="Q25" i="2"/>
  <c r="O26" i="6" s="1"/>
  <c r="O25" i="2"/>
  <c r="I25" i="2"/>
  <c r="Q24" i="2"/>
  <c r="O25" i="6" s="1"/>
  <c r="K24" i="2"/>
  <c r="I24" i="2"/>
  <c r="Q23" i="2"/>
  <c r="O24" i="6" s="1"/>
  <c r="K23" i="2"/>
  <c r="I23" i="2"/>
  <c r="Q22" i="2"/>
  <c r="O23" i="6" s="1"/>
  <c r="K22" i="2"/>
  <c r="I22" i="2"/>
  <c r="Q21" i="2"/>
  <c r="O22" i="6" s="1"/>
  <c r="K21" i="2"/>
  <c r="I21" i="2"/>
  <c r="Q20" i="2"/>
  <c r="O21" i="6" s="1"/>
  <c r="K20" i="2"/>
  <c r="I20" i="2"/>
  <c r="Q19" i="2"/>
  <c r="O20" i="6" s="1"/>
  <c r="K19" i="2"/>
  <c r="I19" i="2"/>
  <c r="Q18" i="2"/>
  <c r="O19" i="6" s="1"/>
  <c r="K18" i="2"/>
  <c r="I18" i="2"/>
  <c r="Q17" i="2"/>
  <c r="O18" i="6" s="1"/>
  <c r="K17" i="2"/>
  <c r="I17" i="2"/>
  <c r="Q16" i="2"/>
  <c r="K16" i="2"/>
  <c r="I16" i="2"/>
  <c r="Q15" i="2"/>
  <c r="O16" i="6" s="1"/>
  <c r="K15" i="2"/>
  <c r="I15" i="2"/>
  <c r="Q14" i="2"/>
  <c r="O15" i="6" s="1"/>
  <c r="K14" i="2"/>
  <c r="I14" i="2"/>
  <c r="Q13" i="2"/>
  <c r="O14" i="6" s="1"/>
  <c r="O13" i="2"/>
  <c r="I13" i="2"/>
  <c r="Q12" i="2"/>
  <c r="O13" i="6" s="1"/>
  <c r="K12" i="2"/>
  <c r="I12" i="2"/>
  <c r="Q11" i="2"/>
  <c r="O12" i="6" s="1"/>
  <c r="K11" i="2"/>
  <c r="I11" i="2"/>
  <c r="Q10" i="2"/>
  <c r="O11" i="6" s="1"/>
  <c r="K10" i="2"/>
  <c r="I10" i="2"/>
  <c r="Q9" i="2"/>
  <c r="O10" i="6" s="1"/>
  <c r="K9" i="2"/>
  <c r="I9" i="2"/>
  <c r="Q8" i="2"/>
  <c r="O9" i="6" s="1"/>
  <c r="K8" i="2"/>
  <c r="I8" i="2"/>
  <c r="Q7" i="2"/>
  <c r="O8" i="6" s="1"/>
  <c r="K7" i="2"/>
  <c r="I7" i="2"/>
  <c r="Q6" i="2"/>
  <c r="O7" i="6" s="1"/>
  <c r="K6" i="2"/>
  <c r="I6" i="2"/>
  <c r="Q5" i="2"/>
  <c r="O6" i="6" s="1"/>
  <c r="K5" i="2"/>
  <c r="I5" i="2"/>
  <c r="Q4" i="2"/>
  <c r="O5" i="6" s="1"/>
  <c r="K4" i="2"/>
  <c r="I4" i="2"/>
  <c r="N8" i="10" l="1"/>
  <c r="M8" i="10"/>
  <c r="J8" i="5"/>
  <c r="T8" i="5"/>
  <c r="L8" i="5"/>
  <c r="M8" i="5"/>
  <c r="K8" i="5"/>
  <c r="N11" i="5"/>
  <c r="E11" i="10" s="1"/>
  <c r="O9" i="10"/>
  <c r="N9" i="10"/>
  <c r="M9" i="10"/>
  <c r="K9" i="5"/>
  <c r="V9" i="5"/>
  <c r="M9" i="5"/>
  <c r="J9" i="5"/>
  <c r="W9" i="5"/>
  <c r="U9" i="5"/>
  <c r="T9" i="5"/>
  <c r="L9" i="5"/>
  <c r="L8" i="10"/>
  <c r="O7" i="10"/>
  <c r="N7" i="10"/>
  <c r="M7" i="10"/>
  <c r="V7" i="5"/>
  <c r="U7" i="5"/>
  <c r="T7" i="5"/>
  <c r="L7" i="5"/>
  <c r="J7" i="5"/>
  <c r="W7" i="5"/>
  <c r="M7" i="5"/>
  <c r="K7" i="5"/>
  <c r="O12" i="10"/>
  <c r="N12" i="10"/>
  <c r="M12" i="10"/>
  <c r="W12" i="5"/>
  <c r="U12" i="5"/>
  <c r="T12" i="5"/>
  <c r="M12" i="5"/>
  <c r="K12" i="5"/>
  <c r="V12" i="5"/>
  <c r="L12" i="5"/>
  <c r="J12" i="5"/>
  <c r="O8" i="10"/>
  <c r="H8" i="10" s="1"/>
  <c r="W8" i="5"/>
  <c r="V8" i="5"/>
  <c r="U8" i="5"/>
  <c r="N8" i="5" s="1"/>
  <c r="E8" i="10" s="1"/>
  <c r="F8" i="10" s="1"/>
  <c r="G8" i="10" s="1"/>
  <c r="N9" i="5"/>
  <c r="E9" i="10" s="1"/>
  <c r="F9" i="10" s="1"/>
  <c r="G9" i="10" s="1"/>
  <c r="J6" i="9"/>
  <c r="J5" i="9"/>
  <c r="O10" i="10"/>
  <c r="N10" i="10"/>
  <c r="M10" i="10"/>
  <c r="H10" i="10" s="1"/>
  <c r="V10" i="5"/>
  <c r="U10" i="5"/>
  <c r="T10" i="5"/>
  <c r="L10" i="5"/>
  <c r="J10" i="5"/>
  <c r="W10" i="5"/>
  <c r="M10" i="5"/>
  <c r="K10" i="5"/>
  <c r="S147" i="6"/>
  <c r="N12" i="5"/>
  <c r="E12" i="10" s="1"/>
  <c r="B44" i="7"/>
  <c r="B42" i="7"/>
  <c r="B43" i="7"/>
  <c r="B41" i="7"/>
  <c r="B40" i="7"/>
  <c r="B39" i="7"/>
  <c r="B34" i="7"/>
  <c r="B33" i="7"/>
  <c r="B29" i="7"/>
  <c r="B28" i="7"/>
  <c r="O6" i="10"/>
  <c r="N6" i="10"/>
  <c r="M6" i="10"/>
  <c r="W6" i="5"/>
  <c r="U6" i="5"/>
  <c r="M6" i="5"/>
  <c r="K6" i="5"/>
  <c r="V6" i="5"/>
  <c r="T6" i="5"/>
  <c r="N6" i="5" s="1"/>
  <c r="E6" i="10" s="1"/>
  <c r="F6" i="10" s="1"/>
  <c r="G6" i="10" s="1"/>
  <c r="L6" i="5"/>
  <c r="J6" i="5"/>
  <c r="O161" i="2"/>
  <c r="P162" i="6"/>
  <c r="Q162" i="6" s="1"/>
  <c r="O16" i="2"/>
  <c r="P17" i="6"/>
  <c r="Q17" i="6" s="1"/>
  <c r="B27" i="9"/>
  <c r="B26" i="9"/>
  <c r="J8" i="9"/>
  <c r="J7" i="9"/>
  <c r="O15" i="9" s="1"/>
  <c r="H12" i="10"/>
  <c r="F12" i="10"/>
  <c r="C12" i="10"/>
  <c r="D12" i="10" s="1"/>
  <c r="L12" i="10"/>
  <c r="G12" i="10"/>
  <c r="K12" i="10"/>
  <c r="I11" i="10"/>
  <c r="J11" i="10" s="1"/>
  <c r="H11" i="10"/>
  <c r="F11" i="10"/>
  <c r="K11" i="10"/>
  <c r="D11" i="10"/>
  <c r="C11" i="10"/>
  <c r="G11" i="10"/>
  <c r="L11" i="10"/>
  <c r="K10" i="10"/>
  <c r="L10" i="10"/>
  <c r="C10" i="10"/>
  <c r="D10" i="10" s="1"/>
  <c r="L9" i="10"/>
  <c r="K9" i="10"/>
  <c r="C9" i="10"/>
  <c r="D9" i="10" s="1"/>
  <c r="C8" i="10"/>
  <c r="D8" i="10" s="1"/>
  <c r="K8" i="10"/>
  <c r="L7" i="10"/>
  <c r="C7" i="10"/>
  <c r="D7" i="10" s="1"/>
  <c r="K7" i="10"/>
  <c r="K6" i="10"/>
  <c r="C6" i="10"/>
  <c r="D6" i="10" s="1"/>
  <c r="L6" i="10"/>
  <c r="G5" i="10"/>
  <c r="L5" i="10"/>
  <c r="I5" i="10"/>
  <c r="J5" i="10" s="1"/>
  <c r="F5" i="10"/>
  <c r="H5" i="10"/>
  <c r="C5" i="10"/>
  <c r="D5" i="10"/>
  <c r="K5" i="10"/>
  <c r="B7" i="9"/>
  <c r="B8" i="9"/>
  <c r="Z164" i="6"/>
  <c r="AC164" i="6" s="1"/>
  <c r="X164" i="6"/>
  <c r="Y164" i="6" s="1"/>
  <c r="AB164" i="6" s="1"/>
  <c r="S164" i="6"/>
  <c r="Z163" i="6"/>
  <c r="AC163" i="6" s="1"/>
  <c r="S163" i="6"/>
  <c r="X163" i="6"/>
  <c r="Y163" i="6" s="1"/>
  <c r="AB163" i="6" s="1"/>
  <c r="Z162" i="6"/>
  <c r="AC162" i="6" s="1"/>
  <c r="V162" i="6"/>
  <c r="S162" i="6"/>
  <c r="X162" i="6"/>
  <c r="Y162" i="6" s="1"/>
  <c r="AB162" i="6" s="1"/>
  <c r="Z161" i="6"/>
  <c r="AC161" i="6" s="1"/>
  <c r="S161" i="6"/>
  <c r="X161" i="6"/>
  <c r="Y161" i="6" s="1"/>
  <c r="AB161" i="6" s="1"/>
  <c r="Z160" i="6"/>
  <c r="AC160" i="6" s="1"/>
  <c r="S160" i="6"/>
  <c r="X160" i="6"/>
  <c r="Y160" i="6" s="1"/>
  <c r="AB160" i="6" s="1"/>
  <c r="Z159" i="6"/>
  <c r="AC159" i="6" s="1"/>
  <c r="S159" i="6"/>
  <c r="X159" i="6"/>
  <c r="Y159" i="6" s="1"/>
  <c r="AB159" i="6" s="1"/>
  <c r="Z158" i="6"/>
  <c r="AC158" i="6" s="1"/>
  <c r="X158" i="6"/>
  <c r="Y158" i="6" s="1"/>
  <c r="AB158" i="6" s="1"/>
  <c r="S158" i="6"/>
  <c r="Z157" i="6"/>
  <c r="AC157" i="6" s="1"/>
  <c r="X157" i="6"/>
  <c r="Y157" i="6" s="1"/>
  <c r="AB157" i="6" s="1"/>
  <c r="S157" i="6"/>
  <c r="Z156" i="6"/>
  <c r="AC156" i="6" s="1"/>
  <c r="X156" i="6"/>
  <c r="Y156" i="6" s="1"/>
  <c r="AB156" i="6" s="1"/>
  <c r="S156" i="6"/>
  <c r="Z155" i="6"/>
  <c r="AC155" i="6" s="1"/>
  <c r="X155" i="6"/>
  <c r="Y155" i="6" s="1"/>
  <c r="AB155" i="6" s="1"/>
  <c r="S155" i="6"/>
  <c r="Z154" i="6"/>
  <c r="AC154" i="6" s="1"/>
  <c r="X154" i="6"/>
  <c r="Y154" i="6" s="1"/>
  <c r="AB154" i="6" s="1"/>
  <c r="S154" i="6"/>
  <c r="Z153" i="6"/>
  <c r="AC153" i="6" s="1"/>
  <c r="S153" i="6"/>
  <c r="X153" i="6"/>
  <c r="Y153" i="6" s="1"/>
  <c r="AB153" i="6" s="1"/>
  <c r="Z152" i="6"/>
  <c r="AC152" i="6" s="1"/>
  <c r="S152" i="6"/>
  <c r="X152" i="6"/>
  <c r="Y152" i="6" s="1"/>
  <c r="AB152" i="6" s="1"/>
  <c r="Z151" i="6"/>
  <c r="AC151" i="6" s="1"/>
  <c r="X151" i="6"/>
  <c r="Y151" i="6" s="1"/>
  <c r="AB151" i="6" s="1"/>
  <c r="S151" i="6"/>
  <c r="Z150" i="6"/>
  <c r="AC150" i="6" s="1"/>
  <c r="X150" i="6"/>
  <c r="Y150" i="6" s="1"/>
  <c r="AB150" i="6" s="1"/>
  <c r="S150" i="6"/>
  <c r="Z149" i="6"/>
  <c r="AC149" i="6" s="1"/>
  <c r="S149" i="6"/>
  <c r="X149" i="6"/>
  <c r="Y149" i="6" s="1"/>
  <c r="AB149" i="6" s="1"/>
  <c r="Z148" i="6"/>
  <c r="AC148" i="6" s="1"/>
  <c r="S148" i="6"/>
  <c r="X148" i="6"/>
  <c r="Y148" i="6" s="1"/>
  <c r="AB148" i="6" s="1"/>
  <c r="S146" i="6"/>
  <c r="X146" i="6"/>
  <c r="Y146" i="6" s="1"/>
  <c r="AB146" i="6" s="1"/>
  <c r="S145" i="6"/>
  <c r="X145" i="6"/>
  <c r="Y145" i="6" s="1"/>
  <c r="AB145" i="6" s="1"/>
  <c r="S144" i="6"/>
  <c r="X144" i="6"/>
  <c r="Y144" i="6" s="1"/>
  <c r="AB144" i="6" s="1"/>
  <c r="X143" i="6"/>
  <c r="Y143" i="6" s="1"/>
  <c r="AB143" i="6" s="1"/>
  <c r="S143" i="6"/>
  <c r="S142" i="6"/>
  <c r="X142" i="6"/>
  <c r="Y142" i="6" s="1"/>
  <c r="AB142" i="6" s="1"/>
  <c r="S141" i="6"/>
  <c r="X141" i="6"/>
  <c r="Y141" i="6" s="1"/>
  <c r="AB141" i="6" s="1"/>
  <c r="S140" i="6"/>
  <c r="X140" i="6"/>
  <c r="Y140" i="6" s="1"/>
  <c r="AB140" i="6" s="1"/>
  <c r="S139" i="6"/>
  <c r="X139" i="6"/>
  <c r="Y139" i="6" s="1"/>
  <c r="AB139" i="6" s="1"/>
  <c r="X138" i="6"/>
  <c r="Y138" i="6" s="1"/>
  <c r="AB138" i="6" s="1"/>
  <c r="S138" i="6"/>
  <c r="S137" i="6"/>
  <c r="X137" i="6"/>
  <c r="Y137" i="6" s="1"/>
  <c r="AB137" i="6" s="1"/>
  <c r="S136" i="6"/>
  <c r="X136" i="6"/>
  <c r="Y136" i="6" s="1"/>
  <c r="AB136" i="6" s="1"/>
  <c r="S135" i="6"/>
  <c r="X135" i="6"/>
  <c r="Y135" i="6" s="1"/>
  <c r="AB135" i="6" s="1"/>
  <c r="X134" i="6"/>
  <c r="Y134" i="6" s="1"/>
  <c r="AB134" i="6" s="1"/>
  <c r="S134" i="6"/>
  <c r="X133" i="6"/>
  <c r="Y133" i="6" s="1"/>
  <c r="AB133" i="6" s="1"/>
  <c r="S133" i="6"/>
  <c r="X132" i="6"/>
  <c r="Y132" i="6" s="1"/>
  <c r="AB132" i="6" s="1"/>
  <c r="S132" i="6"/>
  <c r="X131" i="6"/>
  <c r="Y131" i="6" s="1"/>
  <c r="AB131" i="6" s="1"/>
  <c r="S131" i="6"/>
  <c r="S130" i="6"/>
  <c r="X130" i="6"/>
  <c r="Y130" i="6" s="1"/>
  <c r="AB130" i="6" s="1"/>
  <c r="X129" i="6"/>
  <c r="Y129" i="6" s="1"/>
  <c r="AB129" i="6" s="1"/>
  <c r="S129" i="6"/>
  <c r="X128" i="6"/>
  <c r="Y128" i="6" s="1"/>
  <c r="AB128" i="6" s="1"/>
  <c r="S128" i="6"/>
  <c r="X127" i="6"/>
  <c r="Y127" i="6" s="1"/>
  <c r="AB127" i="6" s="1"/>
  <c r="S127" i="6"/>
  <c r="S126" i="6"/>
  <c r="X126" i="6"/>
  <c r="Y126" i="6" s="1"/>
  <c r="AB126" i="6" s="1"/>
  <c r="X125" i="6"/>
  <c r="Y125" i="6" s="1"/>
  <c r="AB125" i="6" s="1"/>
  <c r="S125" i="6"/>
  <c r="X124" i="6"/>
  <c r="Y124" i="6" s="1"/>
  <c r="AB124" i="6" s="1"/>
  <c r="S124" i="6"/>
  <c r="S123" i="6"/>
  <c r="X123" i="6"/>
  <c r="Y123" i="6" s="1"/>
  <c r="AB123" i="6" s="1"/>
  <c r="S122" i="6"/>
  <c r="X122" i="6"/>
  <c r="Y122" i="6" s="1"/>
  <c r="AB122" i="6" s="1"/>
  <c r="X121" i="6"/>
  <c r="Y121" i="6" s="1"/>
  <c r="AB121" i="6" s="1"/>
  <c r="S121" i="6"/>
  <c r="S120" i="6"/>
  <c r="X120" i="6"/>
  <c r="Y120" i="6" s="1"/>
  <c r="AB120" i="6" s="1"/>
  <c r="X119" i="6"/>
  <c r="Y119" i="6" s="1"/>
  <c r="AB119" i="6" s="1"/>
  <c r="S119" i="6"/>
  <c r="X118" i="6"/>
  <c r="Y118" i="6" s="1"/>
  <c r="AB118" i="6" s="1"/>
  <c r="S118" i="6"/>
  <c r="S117" i="6"/>
  <c r="X117" i="6"/>
  <c r="Y117" i="6" s="1"/>
  <c r="AB117" i="6" s="1"/>
  <c r="X116" i="6"/>
  <c r="Y116" i="6" s="1"/>
  <c r="AB116" i="6" s="1"/>
  <c r="S116" i="6"/>
  <c r="S115" i="6"/>
  <c r="X115" i="6"/>
  <c r="Y115" i="6" s="1"/>
  <c r="AB115" i="6" s="1"/>
  <c r="X114" i="6"/>
  <c r="Y114" i="6" s="1"/>
  <c r="AB114" i="6" s="1"/>
  <c r="S114" i="6"/>
  <c r="X113" i="6"/>
  <c r="Y113" i="6" s="1"/>
  <c r="AB113" i="6" s="1"/>
  <c r="S113" i="6"/>
  <c r="X112" i="6"/>
  <c r="Y112" i="6" s="1"/>
  <c r="AB112" i="6" s="1"/>
  <c r="S112" i="6"/>
  <c r="S111" i="6"/>
  <c r="X111" i="6"/>
  <c r="Y111" i="6" s="1"/>
  <c r="AB111" i="6" s="1"/>
  <c r="S110" i="6"/>
  <c r="X110" i="6"/>
  <c r="Y110" i="6" s="1"/>
  <c r="AB110" i="6" s="1"/>
  <c r="S109" i="6"/>
  <c r="X109" i="6"/>
  <c r="Y109" i="6" s="1"/>
  <c r="AB109" i="6" s="1"/>
  <c r="S108" i="6"/>
  <c r="X108" i="6"/>
  <c r="Y108" i="6" s="1"/>
  <c r="AB108" i="6" s="1"/>
  <c r="X107" i="6"/>
  <c r="Y107" i="6" s="1"/>
  <c r="AB107" i="6" s="1"/>
  <c r="S107" i="6"/>
  <c r="X106" i="6"/>
  <c r="Y106" i="6" s="1"/>
  <c r="AB106" i="6" s="1"/>
  <c r="S106" i="6"/>
  <c r="X105" i="6"/>
  <c r="Y105" i="6" s="1"/>
  <c r="AB105" i="6" s="1"/>
  <c r="S105" i="6"/>
  <c r="X104" i="6"/>
  <c r="Y104" i="6" s="1"/>
  <c r="AB104" i="6" s="1"/>
  <c r="S104" i="6"/>
  <c r="X103" i="6"/>
  <c r="Y103" i="6" s="1"/>
  <c r="AB103" i="6" s="1"/>
  <c r="S103" i="6"/>
  <c r="S102" i="6"/>
  <c r="X102" i="6"/>
  <c r="Y102" i="6" s="1"/>
  <c r="AB102" i="6" s="1"/>
  <c r="X101" i="6"/>
  <c r="Y101" i="6" s="1"/>
  <c r="AB101" i="6" s="1"/>
  <c r="S101" i="6"/>
  <c r="S100" i="6"/>
  <c r="X100" i="6"/>
  <c r="Y100" i="6" s="1"/>
  <c r="AB100" i="6" s="1"/>
  <c r="S99" i="6"/>
  <c r="X99" i="6"/>
  <c r="Y99" i="6" s="1"/>
  <c r="AB99" i="6" s="1"/>
  <c r="S98" i="6"/>
  <c r="X98" i="6"/>
  <c r="Y98" i="6" s="1"/>
  <c r="AB98" i="6" s="1"/>
  <c r="X97" i="6"/>
  <c r="Y97" i="6" s="1"/>
  <c r="AB97" i="6" s="1"/>
  <c r="S97" i="6"/>
  <c r="S96" i="6"/>
  <c r="X96" i="6"/>
  <c r="Y96" i="6" s="1"/>
  <c r="AB96" i="6" s="1"/>
  <c r="S95" i="6"/>
  <c r="X95" i="6"/>
  <c r="Y95" i="6" s="1"/>
  <c r="AB95" i="6" s="1"/>
  <c r="S94" i="6"/>
  <c r="X94" i="6"/>
  <c r="Y94" i="6" s="1"/>
  <c r="AB94" i="6" s="1"/>
  <c r="S93" i="6"/>
  <c r="X93" i="6"/>
  <c r="Y93" i="6" s="1"/>
  <c r="AB93" i="6" s="1"/>
  <c r="S92" i="6"/>
  <c r="X92" i="6"/>
  <c r="Y92" i="6" s="1"/>
  <c r="AB92" i="6" s="1"/>
  <c r="X91" i="6"/>
  <c r="Y91" i="6" s="1"/>
  <c r="AB91" i="6" s="1"/>
  <c r="S91" i="6"/>
  <c r="S90" i="6"/>
  <c r="X90" i="6"/>
  <c r="Y90" i="6" s="1"/>
  <c r="AB90" i="6" s="1"/>
  <c r="S89" i="6"/>
  <c r="X89" i="6"/>
  <c r="Y89" i="6" s="1"/>
  <c r="AB89" i="6" s="1"/>
  <c r="S88" i="6"/>
  <c r="X88" i="6"/>
  <c r="Y88" i="6" s="1"/>
  <c r="AB88" i="6" s="1"/>
  <c r="X87" i="6"/>
  <c r="Y87" i="6" s="1"/>
  <c r="AB87" i="6" s="1"/>
  <c r="S87" i="6"/>
  <c r="X86" i="6"/>
  <c r="Y86" i="6" s="1"/>
  <c r="AB86" i="6" s="1"/>
  <c r="S86" i="6"/>
  <c r="S85" i="6"/>
  <c r="X85" i="6"/>
  <c r="Y85" i="6" s="1"/>
  <c r="AB85" i="6" s="1"/>
  <c r="X84" i="6"/>
  <c r="Y84" i="6" s="1"/>
  <c r="AB84" i="6" s="1"/>
  <c r="S84" i="6"/>
  <c r="X83" i="6"/>
  <c r="Y83" i="6" s="1"/>
  <c r="AB83" i="6" s="1"/>
  <c r="S83" i="6"/>
  <c r="S82" i="6"/>
  <c r="X82" i="6"/>
  <c r="Y82" i="6" s="1"/>
  <c r="AB82" i="6" s="1"/>
  <c r="X81" i="6"/>
  <c r="Y81" i="6" s="1"/>
  <c r="AB81" i="6" s="1"/>
  <c r="S81" i="6"/>
  <c r="X80" i="6"/>
  <c r="Y80" i="6" s="1"/>
  <c r="AB80" i="6" s="1"/>
  <c r="S80" i="6"/>
  <c r="X79" i="6"/>
  <c r="Y79" i="6" s="1"/>
  <c r="AB79" i="6" s="1"/>
  <c r="S79" i="6"/>
  <c r="S78" i="6"/>
  <c r="X78" i="6"/>
  <c r="Y78" i="6" s="1"/>
  <c r="AB78" i="6" s="1"/>
  <c r="X77" i="6"/>
  <c r="Y77" i="6" s="1"/>
  <c r="AB77" i="6" s="1"/>
  <c r="S77" i="6"/>
  <c r="S76" i="6"/>
  <c r="X76" i="6"/>
  <c r="Y76" i="6" s="1"/>
  <c r="AB76" i="6" s="1"/>
  <c r="S75" i="6"/>
  <c r="X75" i="6"/>
  <c r="Y75" i="6" s="1"/>
  <c r="AB75" i="6" s="1"/>
  <c r="X74" i="6"/>
  <c r="Y74" i="6" s="1"/>
  <c r="AB74" i="6" s="1"/>
  <c r="S74" i="6"/>
  <c r="X73" i="6"/>
  <c r="Y73" i="6" s="1"/>
  <c r="AB73" i="6" s="1"/>
  <c r="S73" i="6"/>
  <c r="S72" i="6"/>
  <c r="X72" i="6"/>
  <c r="Y72" i="6" s="1"/>
  <c r="AB72" i="6" s="1"/>
  <c r="X71" i="6"/>
  <c r="Y71" i="6" s="1"/>
  <c r="AB71" i="6" s="1"/>
  <c r="S71" i="6"/>
  <c r="X70" i="6"/>
  <c r="Y70" i="6" s="1"/>
  <c r="AB70" i="6" s="1"/>
  <c r="S70" i="6"/>
  <c r="S69" i="6"/>
  <c r="X69" i="6"/>
  <c r="Y69" i="6" s="1"/>
  <c r="AB69" i="6" s="1"/>
  <c r="S68" i="6"/>
  <c r="X68" i="6"/>
  <c r="Y68" i="6" s="1"/>
  <c r="AB68" i="6" s="1"/>
  <c r="X67" i="6"/>
  <c r="Y67" i="6" s="1"/>
  <c r="AB67" i="6" s="1"/>
  <c r="S67" i="6"/>
  <c r="X66" i="6"/>
  <c r="Y66" i="6" s="1"/>
  <c r="AB66" i="6" s="1"/>
  <c r="S66" i="6"/>
  <c r="X65" i="6"/>
  <c r="Y65" i="6" s="1"/>
  <c r="AB65" i="6" s="1"/>
  <c r="S65" i="6"/>
  <c r="X64" i="6"/>
  <c r="Y64" i="6" s="1"/>
  <c r="AB64" i="6" s="1"/>
  <c r="S64" i="6"/>
  <c r="S63" i="6"/>
  <c r="X63" i="6"/>
  <c r="Y63" i="6" s="1"/>
  <c r="AB63" i="6" s="1"/>
  <c r="S62" i="6"/>
  <c r="X62" i="6"/>
  <c r="Y62" i="6" s="1"/>
  <c r="AB62" i="6" s="1"/>
  <c r="X61" i="6"/>
  <c r="Y61" i="6" s="1"/>
  <c r="AB61" i="6" s="1"/>
  <c r="S61" i="6"/>
  <c r="S60" i="6"/>
  <c r="X60" i="6"/>
  <c r="Y60" i="6" s="1"/>
  <c r="AB60" i="6" s="1"/>
  <c r="S59" i="6"/>
  <c r="X59" i="6"/>
  <c r="Y59" i="6" s="1"/>
  <c r="AB59" i="6" s="1"/>
  <c r="X58" i="6"/>
  <c r="Y58" i="6" s="1"/>
  <c r="AB58" i="6" s="1"/>
  <c r="S58" i="6"/>
  <c r="S57" i="6"/>
  <c r="X57" i="6"/>
  <c r="Y57" i="6" s="1"/>
  <c r="AB57" i="6" s="1"/>
  <c r="S56" i="6"/>
  <c r="X56" i="6"/>
  <c r="Y56" i="6" s="1"/>
  <c r="AB56" i="6" s="1"/>
  <c r="X55" i="6"/>
  <c r="Y55" i="6" s="1"/>
  <c r="AB55" i="6" s="1"/>
  <c r="S55" i="6"/>
  <c r="S54" i="6"/>
  <c r="X54" i="6"/>
  <c r="Y54" i="6" s="1"/>
  <c r="AB54" i="6" s="1"/>
  <c r="S53" i="6"/>
  <c r="X53" i="6"/>
  <c r="Y53" i="6" s="1"/>
  <c r="AB53" i="6" s="1"/>
  <c r="X52" i="6"/>
  <c r="Y52" i="6" s="1"/>
  <c r="AB52" i="6" s="1"/>
  <c r="S52" i="6"/>
  <c r="S51" i="6"/>
  <c r="X51" i="6"/>
  <c r="Y51" i="6" s="1"/>
  <c r="AB51" i="6" s="1"/>
  <c r="S50" i="6"/>
  <c r="X50" i="6"/>
  <c r="Y50" i="6" s="1"/>
  <c r="AB50" i="6" s="1"/>
  <c r="X49" i="6"/>
  <c r="Y49" i="6" s="1"/>
  <c r="AB49" i="6" s="1"/>
  <c r="S49" i="6"/>
  <c r="X48" i="6"/>
  <c r="Y48" i="6" s="1"/>
  <c r="AB48" i="6" s="1"/>
  <c r="S48" i="6"/>
  <c r="S47" i="6"/>
  <c r="X46" i="6"/>
  <c r="Y46" i="6" s="1"/>
  <c r="AB46" i="6" s="1"/>
  <c r="S46" i="6"/>
  <c r="X45" i="6"/>
  <c r="Y45" i="6" s="1"/>
  <c r="AB45" i="6" s="1"/>
  <c r="S45" i="6"/>
  <c r="S44" i="6"/>
  <c r="X44" i="6"/>
  <c r="Y44" i="6" s="1"/>
  <c r="AB44" i="6" s="1"/>
  <c r="X43" i="6"/>
  <c r="Y43" i="6" s="1"/>
  <c r="AB43" i="6" s="1"/>
  <c r="S43" i="6"/>
  <c r="X42" i="6"/>
  <c r="Y42" i="6" s="1"/>
  <c r="AB42" i="6" s="1"/>
  <c r="S42" i="6"/>
  <c r="S41" i="6"/>
  <c r="X41" i="6"/>
  <c r="Y41" i="6" s="1"/>
  <c r="AB41" i="6" s="1"/>
  <c r="X40" i="6"/>
  <c r="Y40" i="6" s="1"/>
  <c r="AB40" i="6" s="1"/>
  <c r="S40" i="6"/>
  <c r="S39" i="6"/>
  <c r="X39" i="6"/>
  <c r="Y39" i="6" s="1"/>
  <c r="AB39" i="6" s="1"/>
  <c r="X38" i="6"/>
  <c r="Y38" i="6" s="1"/>
  <c r="AB38" i="6" s="1"/>
  <c r="S38" i="6"/>
  <c r="X37" i="6"/>
  <c r="Y37" i="6" s="1"/>
  <c r="AB37" i="6" s="1"/>
  <c r="S37" i="6"/>
  <c r="S36" i="6"/>
  <c r="X36" i="6"/>
  <c r="Y36" i="6" s="1"/>
  <c r="AB36" i="6" s="1"/>
  <c r="X35" i="6"/>
  <c r="Y35" i="6" s="1"/>
  <c r="AB35" i="6" s="1"/>
  <c r="S35" i="6"/>
  <c r="X34" i="6"/>
  <c r="Y34" i="6" s="1"/>
  <c r="AB34" i="6" s="1"/>
  <c r="S34" i="6"/>
  <c r="X33" i="6"/>
  <c r="Y33" i="6" s="1"/>
  <c r="AB33" i="6" s="1"/>
  <c r="S33" i="6"/>
  <c r="S32" i="6"/>
  <c r="X32" i="6"/>
  <c r="Y32" i="6" s="1"/>
  <c r="AB32" i="6" s="1"/>
  <c r="X31" i="6"/>
  <c r="Y31" i="6" s="1"/>
  <c r="AB31" i="6" s="1"/>
  <c r="S31" i="6"/>
  <c r="S30" i="6"/>
  <c r="X30" i="6"/>
  <c r="Y30" i="6" s="1"/>
  <c r="AB30" i="6" s="1"/>
  <c r="X29" i="6"/>
  <c r="Y29" i="6" s="1"/>
  <c r="AB29" i="6" s="1"/>
  <c r="S29" i="6"/>
  <c r="S28" i="6"/>
  <c r="X28" i="6"/>
  <c r="Y28" i="6" s="1"/>
  <c r="AB28" i="6" s="1"/>
  <c r="S27" i="6"/>
  <c r="X27" i="6"/>
  <c r="Y27" i="6" s="1"/>
  <c r="AB27" i="6" s="1"/>
  <c r="X26" i="6"/>
  <c r="Y26" i="6" s="1"/>
  <c r="AB26" i="6" s="1"/>
  <c r="S26" i="6"/>
  <c r="X25" i="6"/>
  <c r="Y25" i="6" s="1"/>
  <c r="AB25" i="6" s="1"/>
  <c r="S25" i="6"/>
  <c r="X24" i="6"/>
  <c r="Y24" i="6" s="1"/>
  <c r="AB24" i="6" s="1"/>
  <c r="S24" i="6"/>
  <c r="X23" i="6"/>
  <c r="Y23" i="6" s="1"/>
  <c r="AB23" i="6" s="1"/>
  <c r="S23" i="6"/>
  <c r="X22" i="6"/>
  <c r="Y22" i="6" s="1"/>
  <c r="AB22" i="6" s="1"/>
  <c r="S22" i="6"/>
  <c r="S21" i="6"/>
  <c r="X21" i="6"/>
  <c r="Y21" i="6" s="1"/>
  <c r="AB21" i="6" s="1"/>
  <c r="X20" i="6"/>
  <c r="Y20" i="6" s="1"/>
  <c r="AB20" i="6" s="1"/>
  <c r="S20" i="6"/>
  <c r="S19" i="6"/>
  <c r="X19" i="6"/>
  <c r="Y19" i="6" s="1"/>
  <c r="AB19" i="6" s="1"/>
  <c r="S18" i="6"/>
  <c r="X18" i="6"/>
  <c r="Y18" i="6" s="1"/>
  <c r="AB18" i="6" s="1"/>
  <c r="Z17" i="6"/>
  <c r="AC17" i="6" s="1"/>
  <c r="V17" i="6"/>
  <c r="X17" i="6"/>
  <c r="Y17" i="6" s="1"/>
  <c r="AB17" i="6" s="1"/>
  <c r="S17" i="6"/>
  <c r="X16" i="6"/>
  <c r="Y16" i="6" s="1"/>
  <c r="AB16" i="6" s="1"/>
  <c r="S16" i="6"/>
  <c r="S15" i="6"/>
  <c r="X15" i="6"/>
  <c r="Y15" i="6" s="1"/>
  <c r="AB15" i="6" s="1"/>
  <c r="S14" i="6"/>
  <c r="X14" i="6"/>
  <c r="Y14" i="6" s="1"/>
  <c r="AB14" i="6" s="1"/>
  <c r="S13" i="6"/>
  <c r="X13" i="6"/>
  <c r="Y13" i="6" s="1"/>
  <c r="AB13" i="6" s="1"/>
  <c r="S12" i="6"/>
  <c r="X12" i="6"/>
  <c r="Y12" i="6" s="1"/>
  <c r="AB12" i="6" s="1"/>
  <c r="X11" i="6"/>
  <c r="Y11" i="6" s="1"/>
  <c r="AB11" i="6" s="1"/>
  <c r="S11" i="6"/>
  <c r="X10" i="6"/>
  <c r="Y10" i="6" s="1"/>
  <c r="AB10" i="6" s="1"/>
  <c r="S10" i="6"/>
  <c r="X9" i="6"/>
  <c r="Y9" i="6" s="1"/>
  <c r="AB9" i="6" s="1"/>
  <c r="S9" i="6"/>
  <c r="X8" i="6"/>
  <c r="Y8" i="6" s="1"/>
  <c r="AB8" i="6" s="1"/>
  <c r="S8" i="6"/>
  <c r="S7" i="6"/>
  <c r="X7" i="6"/>
  <c r="Y7" i="6" s="1"/>
  <c r="AB7" i="6" s="1"/>
  <c r="S6" i="6"/>
  <c r="X6" i="6"/>
  <c r="Y6" i="6" s="1"/>
  <c r="AB6" i="6" s="1"/>
  <c r="S5" i="6"/>
  <c r="X5" i="6"/>
  <c r="Y5" i="6" s="1"/>
  <c r="AB5" i="6" s="1"/>
  <c r="R76" i="6"/>
  <c r="R75" i="6"/>
  <c r="R45" i="6"/>
  <c r="R74" i="6"/>
  <c r="R91" i="6"/>
  <c r="R50" i="6"/>
  <c r="R73" i="6"/>
  <c r="R72" i="6"/>
  <c r="R51" i="6"/>
  <c r="R71" i="6"/>
  <c r="R80" i="6"/>
  <c r="R92" i="6"/>
  <c r="R97" i="6"/>
  <c r="R70" i="6"/>
  <c r="R69" i="6"/>
  <c r="R52" i="6"/>
  <c r="R68" i="6"/>
  <c r="R67" i="6"/>
  <c r="R44" i="6"/>
  <c r="R93" i="6"/>
  <c r="R53" i="6"/>
  <c r="R99" i="6"/>
  <c r="R66" i="6"/>
  <c r="R65" i="6"/>
  <c r="R64" i="6"/>
  <c r="R100" i="6"/>
  <c r="R54" i="6"/>
  <c r="R63" i="6"/>
  <c r="R94" i="6"/>
  <c r="R37" i="6"/>
  <c r="R62" i="6"/>
  <c r="R55" i="6"/>
  <c r="R102" i="6"/>
  <c r="R61" i="6"/>
  <c r="R103" i="6"/>
  <c r="R60" i="6"/>
  <c r="R59" i="6"/>
  <c r="R105" i="6"/>
  <c r="R36" i="6"/>
  <c r="R56" i="6"/>
  <c r="R95" i="6"/>
  <c r="R58" i="6"/>
  <c r="R57" i="6"/>
  <c r="R109" i="6"/>
  <c r="R35" i="6"/>
  <c r="R110" i="6"/>
  <c r="R16" i="6"/>
  <c r="R111" i="6"/>
  <c r="R43" i="6"/>
  <c r="R96" i="6"/>
  <c r="R113" i="6"/>
  <c r="R15" i="6"/>
  <c r="R34" i="6"/>
  <c r="R114" i="6"/>
  <c r="R14" i="6"/>
  <c r="R13" i="6"/>
  <c r="R115" i="6"/>
  <c r="R12" i="6"/>
  <c r="R11" i="6"/>
  <c r="R116" i="6"/>
  <c r="R33" i="6"/>
  <c r="R10" i="6"/>
  <c r="R117" i="6"/>
  <c r="R98" i="6"/>
  <c r="R21" i="6"/>
  <c r="R118" i="6"/>
  <c r="R9" i="6"/>
  <c r="R32" i="6"/>
  <c r="R119" i="6"/>
  <c r="B4" i="7"/>
  <c r="R148" i="6"/>
  <c r="R120" i="6"/>
  <c r="R147" i="6"/>
  <c r="R8" i="6"/>
  <c r="R121" i="6"/>
  <c r="R31" i="6"/>
  <c r="R146" i="6"/>
  <c r="R38" i="6"/>
  <c r="R42" i="6"/>
  <c r="R101" i="6"/>
  <c r="R145" i="6"/>
  <c r="R123" i="6"/>
  <c r="R88" i="6"/>
  <c r="R30" i="6"/>
  <c r="R124" i="6"/>
  <c r="R46" i="6"/>
  <c r="R104" i="6"/>
  <c r="R125" i="6"/>
  <c r="R7" i="6"/>
  <c r="R106" i="6"/>
  <c r="R126" i="6"/>
  <c r="R29" i="6"/>
  <c r="R41" i="6"/>
  <c r="R127" i="6"/>
  <c r="R107" i="6"/>
  <c r="R87" i="6"/>
  <c r="R128" i="6"/>
  <c r="R108" i="6"/>
  <c r="R28" i="6"/>
  <c r="R129" i="6"/>
  <c r="R86" i="6"/>
  <c r="R85" i="6"/>
  <c r="R130" i="6"/>
  <c r="R47" i="6"/>
  <c r="R40" i="6"/>
  <c r="R131" i="6"/>
  <c r="R27" i="6"/>
  <c r="R112" i="6"/>
  <c r="R132" i="6"/>
  <c r="R6" i="6"/>
  <c r="R20" i="6"/>
  <c r="R133" i="6"/>
  <c r="R82" i="6"/>
  <c r="R134" i="6"/>
  <c r="R26" i="6"/>
  <c r="R18" i="6"/>
  <c r="R135" i="6"/>
  <c r="R19" i="6"/>
  <c r="R81" i="6"/>
  <c r="R136" i="6"/>
  <c r="R17" i="6"/>
  <c r="R5" i="6"/>
  <c r="R137" i="6"/>
  <c r="R25" i="6"/>
  <c r="B5" i="6"/>
  <c r="R138" i="6"/>
  <c r="R89" i="6"/>
  <c r="R79" i="6"/>
  <c r="R139" i="6"/>
  <c r="R83" i="6"/>
  <c r="R24" i="6"/>
  <c r="R140" i="6"/>
  <c r="R48" i="6"/>
  <c r="R78" i="6"/>
  <c r="R141" i="6"/>
  <c r="R90" i="6"/>
  <c r="R142" i="6"/>
  <c r="R23" i="6"/>
  <c r="R39" i="6"/>
  <c r="R143" i="6"/>
  <c r="R84" i="6"/>
  <c r="R77" i="6"/>
  <c r="R144" i="6"/>
  <c r="R49" i="6"/>
  <c r="R22" i="6"/>
  <c r="R122" i="6"/>
  <c r="O22" i="3"/>
  <c r="O21" i="3"/>
  <c r="O164" i="2"/>
  <c r="M164" i="2"/>
  <c r="Z147" i="6"/>
  <c r="AC147" i="6" s="1"/>
  <c r="O146" i="2"/>
  <c r="Z146" i="6"/>
  <c r="AC146" i="6" s="1"/>
  <c r="O145" i="2"/>
  <c r="Z145" i="6"/>
  <c r="AC145" i="6" s="1"/>
  <c r="O144" i="2"/>
  <c r="Z144" i="6"/>
  <c r="AC144" i="6" s="1"/>
  <c r="O143" i="2"/>
  <c r="Z143" i="6"/>
  <c r="AC143" i="6" s="1"/>
  <c r="O142" i="2"/>
  <c r="Z142" i="6"/>
  <c r="AC142" i="6" s="1"/>
  <c r="O141" i="2"/>
  <c r="Z141" i="6"/>
  <c r="AC141" i="6" s="1"/>
  <c r="O140" i="2"/>
  <c r="Z140" i="6"/>
  <c r="AC140" i="6" s="1"/>
  <c r="O139" i="2"/>
  <c r="Z139" i="6"/>
  <c r="AC139" i="6" s="1"/>
  <c r="O138" i="2"/>
  <c r="Z138" i="6"/>
  <c r="AC138" i="6" s="1"/>
  <c r="O137" i="2"/>
  <c r="Z137" i="6"/>
  <c r="AC137" i="6" s="1"/>
  <c r="O136" i="2"/>
  <c r="Z136" i="6"/>
  <c r="AC136" i="6" s="1"/>
  <c r="O135" i="2"/>
  <c r="Z135" i="6"/>
  <c r="AC135" i="6" s="1"/>
  <c r="O134" i="2"/>
  <c r="Z134" i="6"/>
  <c r="AC134" i="6" s="1"/>
  <c r="O133" i="2"/>
  <c r="Z133" i="6"/>
  <c r="AC133" i="6" s="1"/>
  <c r="O132" i="2"/>
  <c r="Z132" i="6"/>
  <c r="AC132" i="6" s="1"/>
  <c r="O131" i="2"/>
  <c r="Z131" i="6"/>
  <c r="AC131" i="6" s="1"/>
  <c r="O130" i="2"/>
  <c r="Z130" i="6"/>
  <c r="AC130" i="6" s="1"/>
  <c r="O129" i="2"/>
  <c r="Z129" i="6"/>
  <c r="AC129" i="6" s="1"/>
  <c r="O128" i="2"/>
  <c r="Z128" i="6"/>
  <c r="AC128" i="6" s="1"/>
  <c r="O127" i="2"/>
  <c r="Z127" i="6"/>
  <c r="AC127" i="6" s="1"/>
  <c r="O126" i="2"/>
  <c r="V126" i="6"/>
  <c r="Z126" i="6"/>
  <c r="AC126" i="6" s="1"/>
  <c r="P126" i="6"/>
  <c r="O125" i="2"/>
  <c r="Z125" i="6"/>
  <c r="AC125" i="6" s="1"/>
  <c r="O124" i="2"/>
  <c r="Z124" i="6"/>
  <c r="AC124" i="6" s="1"/>
  <c r="O123" i="2"/>
  <c r="Z123" i="6"/>
  <c r="AC123" i="6" s="1"/>
  <c r="O122" i="2"/>
  <c r="Z122" i="6"/>
  <c r="AC122" i="6" s="1"/>
  <c r="O121" i="2"/>
  <c r="Z121" i="6"/>
  <c r="AC121" i="6" s="1"/>
  <c r="O120" i="2"/>
  <c r="Z120" i="6"/>
  <c r="AC120" i="6" s="1"/>
  <c r="O119" i="2"/>
  <c r="Z119" i="6"/>
  <c r="AC119" i="6" s="1"/>
  <c r="O118" i="2"/>
  <c r="Z118" i="6"/>
  <c r="AC118" i="6" s="1"/>
  <c r="O117" i="2"/>
  <c r="Z117" i="6"/>
  <c r="AC117" i="6" s="1"/>
  <c r="O116" i="2"/>
  <c r="Z116" i="6"/>
  <c r="AC116" i="6" s="1"/>
  <c r="O115" i="2"/>
  <c r="Z115" i="6"/>
  <c r="AC115" i="6" s="1"/>
  <c r="O114" i="2"/>
  <c r="Z114" i="6"/>
  <c r="AC114" i="6" s="1"/>
  <c r="O113" i="2"/>
  <c r="Z113" i="6"/>
  <c r="AC113" i="6" s="1"/>
  <c r="O112" i="2"/>
  <c r="Z112" i="6"/>
  <c r="AC112" i="6" s="1"/>
  <c r="O111" i="2"/>
  <c r="Z111" i="6"/>
  <c r="AC111" i="6" s="1"/>
  <c r="O110" i="2"/>
  <c r="Z110" i="6"/>
  <c r="AC110" i="6" s="1"/>
  <c r="O109" i="2"/>
  <c r="Z109" i="6"/>
  <c r="AC109" i="6" s="1"/>
  <c r="O108" i="2"/>
  <c r="Z108" i="6"/>
  <c r="AC108" i="6" s="1"/>
  <c r="O107" i="2"/>
  <c r="V107" i="6"/>
  <c r="Z107" i="6"/>
  <c r="AC107" i="6" s="1"/>
  <c r="O106" i="2"/>
  <c r="P107" i="6"/>
  <c r="Z106" i="6"/>
  <c r="AC106" i="6" s="1"/>
  <c r="O105" i="2"/>
  <c r="Z105" i="6"/>
  <c r="AC105" i="6" s="1"/>
  <c r="O104" i="2"/>
  <c r="Z104" i="6"/>
  <c r="AC104" i="6" s="1"/>
  <c r="O103" i="2"/>
  <c r="Z103" i="6"/>
  <c r="AC103" i="6" s="1"/>
  <c r="O102" i="2"/>
  <c r="Z102" i="6"/>
  <c r="AC102" i="6" s="1"/>
  <c r="O101" i="2"/>
  <c r="V101" i="6"/>
  <c r="Z101" i="6"/>
  <c r="AC101" i="6" s="1"/>
  <c r="O100" i="2"/>
  <c r="P101" i="6"/>
  <c r="Z100" i="6"/>
  <c r="AC100" i="6" s="1"/>
  <c r="O99" i="2"/>
  <c r="Z99" i="6"/>
  <c r="AC99" i="6" s="1"/>
  <c r="O98" i="2"/>
  <c r="Z98" i="6"/>
  <c r="AC98" i="6" s="1"/>
  <c r="O97" i="2"/>
  <c r="Z97" i="6"/>
  <c r="AC97" i="6" s="1"/>
  <c r="O96" i="2"/>
  <c r="Z96" i="6"/>
  <c r="AC96" i="6" s="1"/>
  <c r="O95" i="2"/>
  <c r="Z95" i="6"/>
  <c r="AC95" i="6" s="1"/>
  <c r="O94" i="2"/>
  <c r="Z94" i="6"/>
  <c r="AC94" i="6" s="1"/>
  <c r="O93" i="2"/>
  <c r="Z93" i="6"/>
  <c r="AC93" i="6" s="1"/>
  <c r="O92" i="2"/>
  <c r="Z92" i="6"/>
  <c r="AC92" i="6" s="1"/>
  <c r="O91" i="2"/>
  <c r="Z91" i="6"/>
  <c r="AC91" i="6" s="1"/>
  <c r="O90" i="2"/>
  <c r="Z90" i="6"/>
  <c r="AC90" i="6" s="1"/>
  <c r="O89" i="2"/>
  <c r="Z89" i="6"/>
  <c r="AC89" i="6" s="1"/>
  <c r="O88" i="2"/>
  <c r="V88" i="6"/>
  <c r="Z88" i="6"/>
  <c r="AC88" i="6" s="1"/>
  <c r="O87" i="2"/>
  <c r="P88" i="6"/>
  <c r="V87" i="6"/>
  <c r="Z87" i="6"/>
  <c r="AC87" i="6" s="1"/>
  <c r="P87" i="6"/>
  <c r="O86" i="2"/>
  <c r="Z86" i="6"/>
  <c r="AC86" i="6" s="1"/>
  <c r="O85" i="2"/>
  <c r="Z85" i="6"/>
  <c r="AC85" i="6" s="1"/>
  <c r="O84" i="2"/>
  <c r="Z84" i="6"/>
  <c r="AC84" i="6" s="1"/>
  <c r="O83" i="2"/>
  <c r="Z83" i="6"/>
  <c r="AC83" i="6" s="1"/>
  <c r="O82" i="2"/>
  <c r="Z82" i="6"/>
  <c r="AC82" i="6" s="1"/>
  <c r="O81" i="2"/>
  <c r="Z81" i="6"/>
  <c r="AC81" i="6" s="1"/>
  <c r="O80" i="2"/>
  <c r="Z80" i="6"/>
  <c r="AC80" i="6" s="1"/>
  <c r="O79" i="2"/>
  <c r="V79" i="6"/>
  <c r="Z79" i="6"/>
  <c r="AC79" i="6" s="1"/>
  <c r="P79" i="6"/>
  <c r="O78" i="2"/>
  <c r="Z78" i="6"/>
  <c r="AC78" i="6" s="1"/>
  <c r="O77" i="2"/>
  <c r="Z77" i="6"/>
  <c r="AC77" i="6" s="1"/>
  <c r="O76" i="2"/>
  <c r="Z76" i="6"/>
  <c r="AC76" i="6" s="1"/>
  <c r="O75" i="2"/>
  <c r="Z75" i="6"/>
  <c r="AC75" i="6" s="1"/>
  <c r="O74" i="2"/>
  <c r="V74" i="6"/>
  <c r="Z74" i="6"/>
  <c r="AC74" i="6" s="1"/>
  <c r="O73" i="2"/>
  <c r="P74" i="6"/>
  <c r="Z73" i="6"/>
  <c r="AC73" i="6" s="1"/>
  <c r="O72" i="2"/>
  <c r="Z72" i="6"/>
  <c r="AC72" i="6" s="1"/>
  <c r="O71" i="2"/>
  <c r="V71" i="6"/>
  <c r="Z71" i="6"/>
  <c r="AC71" i="6" s="1"/>
  <c r="O70" i="2"/>
  <c r="P71" i="6"/>
  <c r="V70" i="6"/>
  <c r="Z70" i="6"/>
  <c r="AC70" i="6" s="1"/>
  <c r="O69" i="2"/>
  <c r="P70" i="6"/>
  <c r="V69" i="6"/>
  <c r="Z69" i="6"/>
  <c r="AC69" i="6" s="1"/>
  <c r="O68" i="2"/>
  <c r="P69" i="6"/>
  <c r="Z68" i="6"/>
  <c r="AC68" i="6" s="1"/>
  <c r="O67" i="2"/>
  <c r="Z67" i="6"/>
  <c r="AC67" i="6" s="1"/>
  <c r="O66" i="2"/>
  <c r="Z66" i="6"/>
  <c r="AC66" i="6" s="1"/>
  <c r="O65" i="2"/>
  <c r="Z65" i="6"/>
  <c r="AC65" i="6" s="1"/>
  <c r="O64" i="2"/>
  <c r="V64" i="6"/>
  <c r="Z64" i="6"/>
  <c r="AC64" i="6" s="1"/>
  <c r="P64" i="6"/>
  <c r="O63" i="2"/>
  <c r="V63" i="6"/>
  <c r="Z63" i="6"/>
  <c r="AC63" i="6" s="1"/>
  <c r="P63" i="6"/>
  <c r="O62" i="2"/>
  <c r="V62" i="6"/>
  <c r="Z62" i="6"/>
  <c r="AC62" i="6" s="1"/>
  <c r="O61" i="2"/>
  <c r="P62" i="6"/>
  <c r="Z61" i="6"/>
  <c r="AC61" i="6" s="1"/>
  <c r="O60" i="2"/>
  <c r="V60" i="6"/>
  <c r="Z60" i="6"/>
  <c r="AC60" i="6" s="1"/>
  <c r="O59" i="2"/>
  <c r="P60" i="6"/>
  <c r="V59" i="6"/>
  <c r="Z59" i="6"/>
  <c r="AC59" i="6" s="1"/>
  <c r="O58" i="2"/>
  <c r="P59" i="6"/>
  <c r="V58" i="6"/>
  <c r="Z58" i="6"/>
  <c r="AC58" i="6" s="1"/>
  <c r="P58" i="6"/>
  <c r="O57" i="2"/>
  <c r="V57" i="6"/>
  <c r="Z57" i="6"/>
  <c r="AC57" i="6" s="1"/>
  <c r="O56" i="2"/>
  <c r="P57" i="6"/>
  <c r="Z56" i="6"/>
  <c r="AC56" i="6" s="1"/>
  <c r="O55" i="2"/>
  <c r="Z55" i="6"/>
  <c r="AC55" i="6" s="1"/>
  <c r="O54" i="2"/>
  <c r="Z54" i="6"/>
  <c r="AC54" i="6" s="1"/>
  <c r="O53" i="2"/>
  <c r="V53" i="6"/>
  <c r="Z53" i="6"/>
  <c r="AC53" i="6" s="1"/>
  <c r="P53" i="6"/>
  <c r="O52" i="2"/>
  <c r="V52" i="6"/>
  <c r="Z52" i="6"/>
  <c r="AC52" i="6" s="1"/>
  <c r="O51" i="2"/>
  <c r="P52" i="6"/>
  <c r="Z51" i="6"/>
  <c r="AC51" i="6" s="1"/>
  <c r="O50" i="2"/>
  <c r="V50" i="6"/>
  <c r="Z50" i="6"/>
  <c r="AC50" i="6" s="1"/>
  <c r="O49" i="2"/>
  <c r="P50" i="6"/>
  <c r="V49" i="6"/>
  <c r="Z49" i="6"/>
  <c r="AC49" i="6" s="1"/>
  <c r="P49" i="6"/>
  <c r="O48" i="2"/>
  <c r="V48" i="6"/>
  <c r="Z48" i="6"/>
  <c r="AC48" i="6" s="1"/>
  <c r="P48" i="6"/>
  <c r="O47" i="2"/>
  <c r="V47" i="6"/>
  <c r="Z47" i="6"/>
  <c r="AC47" i="6" s="1"/>
  <c r="O46" i="2"/>
  <c r="P47" i="6"/>
  <c r="V46" i="6"/>
  <c r="Z46" i="6"/>
  <c r="AC46" i="6" s="1"/>
  <c r="O45" i="2"/>
  <c r="P46" i="6"/>
  <c r="V45" i="6"/>
  <c r="Z45" i="6"/>
  <c r="AC45" i="6" s="1"/>
  <c r="P45" i="6"/>
  <c r="O44" i="2"/>
  <c r="V44" i="6"/>
  <c r="Z44" i="6"/>
  <c r="AC44" i="6" s="1"/>
  <c r="O43" i="2"/>
  <c r="P44" i="6"/>
  <c r="V43" i="6"/>
  <c r="Z43" i="6"/>
  <c r="AC43" i="6" s="1"/>
  <c r="O42" i="2"/>
  <c r="P43" i="6"/>
  <c r="V42" i="6"/>
  <c r="Z42" i="6"/>
  <c r="AC42" i="6" s="1"/>
  <c r="O41" i="2"/>
  <c r="P42" i="6"/>
  <c r="Z41" i="6"/>
  <c r="AC41" i="6" s="1"/>
  <c r="O40" i="2"/>
  <c r="V40" i="6"/>
  <c r="Z40" i="6"/>
  <c r="AC40" i="6" s="1"/>
  <c r="P40" i="6"/>
  <c r="O39" i="2"/>
  <c r="V39" i="6"/>
  <c r="Z39" i="6"/>
  <c r="AC39" i="6" s="1"/>
  <c r="O38" i="2"/>
  <c r="P39" i="6"/>
  <c r="Z38" i="6"/>
  <c r="AC38" i="6" s="1"/>
  <c r="O37" i="2"/>
  <c r="V37" i="6"/>
  <c r="Z37" i="6"/>
  <c r="AC37" i="6" s="1"/>
  <c r="O36" i="2"/>
  <c r="P37" i="6"/>
  <c r="V36" i="6"/>
  <c r="Z36" i="6"/>
  <c r="AC36" i="6" s="1"/>
  <c r="P36" i="6"/>
  <c r="O35" i="2"/>
  <c r="V35" i="6"/>
  <c r="Z35" i="6"/>
  <c r="AC35" i="6" s="1"/>
  <c r="O34" i="2"/>
  <c r="P35" i="6"/>
  <c r="V34" i="6"/>
  <c r="Z34" i="6"/>
  <c r="AC34" i="6" s="1"/>
  <c r="P34" i="6"/>
  <c r="O33" i="2"/>
  <c r="V33" i="6"/>
  <c r="Z33" i="6"/>
  <c r="AC33" i="6" s="1"/>
  <c r="P33" i="6"/>
  <c r="O32" i="2"/>
  <c r="V32" i="6"/>
  <c r="Z32" i="6"/>
  <c r="AC32" i="6" s="1"/>
  <c r="P32" i="6"/>
  <c r="O31" i="2"/>
  <c r="V31" i="6"/>
  <c r="Z31" i="6"/>
  <c r="AC31" i="6" s="1"/>
  <c r="O30" i="2"/>
  <c r="P31" i="6"/>
  <c r="V30" i="6"/>
  <c r="Z30" i="6"/>
  <c r="AC30" i="6" s="1"/>
  <c r="P30" i="6"/>
  <c r="O29" i="2"/>
  <c r="V29" i="6"/>
  <c r="Z29" i="6"/>
  <c r="AC29" i="6" s="1"/>
  <c r="O28" i="2"/>
  <c r="P29" i="6"/>
  <c r="V28" i="6"/>
  <c r="Z28" i="6"/>
  <c r="AC28" i="6" s="1"/>
  <c r="P28" i="6"/>
  <c r="O27" i="2"/>
  <c r="V27" i="6"/>
  <c r="Z27" i="6"/>
  <c r="AC27" i="6" s="1"/>
  <c r="P27" i="6"/>
  <c r="O26" i="2"/>
  <c r="V26" i="6"/>
  <c r="Z26" i="6"/>
  <c r="AC26" i="6" s="1"/>
  <c r="V25" i="6"/>
  <c r="Z25" i="6"/>
  <c r="AC25" i="6" s="1"/>
  <c r="P25" i="6"/>
  <c r="O24" i="2"/>
  <c r="V24" i="6"/>
  <c r="Z24" i="6"/>
  <c r="AC24" i="6" s="1"/>
  <c r="P24" i="6"/>
  <c r="O23" i="2"/>
  <c r="V23" i="6"/>
  <c r="Z23" i="6"/>
  <c r="AC23" i="6" s="1"/>
  <c r="P23" i="6"/>
  <c r="O22" i="2"/>
  <c r="V22" i="6"/>
  <c r="Z22" i="6"/>
  <c r="AC22" i="6" s="1"/>
  <c r="P22" i="6"/>
  <c r="O21" i="2"/>
  <c r="V21" i="6"/>
  <c r="Z21" i="6"/>
  <c r="AC21" i="6" s="1"/>
  <c r="O20" i="2"/>
  <c r="P21" i="6"/>
  <c r="V20" i="6"/>
  <c r="Z20" i="6"/>
  <c r="AC20" i="6" s="1"/>
  <c r="P20" i="6"/>
  <c r="O19" i="2"/>
  <c r="Z19" i="6"/>
  <c r="AC19" i="6" s="1"/>
  <c r="O18" i="2"/>
  <c r="V18" i="6"/>
  <c r="Z18" i="6"/>
  <c r="AC18" i="6" s="1"/>
  <c r="P18" i="6"/>
  <c r="O17" i="2"/>
  <c r="V16" i="6"/>
  <c r="Z16" i="6"/>
  <c r="AC16" i="6" s="1"/>
  <c r="O15" i="2"/>
  <c r="P16" i="6"/>
  <c r="V15" i="6"/>
  <c r="Z15" i="6"/>
  <c r="AC15" i="6" s="1"/>
  <c r="P15" i="6"/>
  <c r="O14" i="2"/>
  <c r="V14" i="6"/>
  <c r="Z14" i="6"/>
  <c r="AC14" i="6" s="1"/>
  <c r="V13" i="6"/>
  <c r="Z13" i="6"/>
  <c r="AC13" i="6" s="1"/>
  <c r="O12" i="2"/>
  <c r="P13" i="6"/>
  <c r="V12" i="6"/>
  <c r="Z12" i="6"/>
  <c r="AC12" i="6" s="1"/>
  <c r="P12" i="6"/>
  <c r="O11" i="2"/>
  <c r="V11" i="6"/>
  <c r="Z11" i="6"/>
  <c r="AC11" i="6" s="1"/>
  <c r="O10" i="2"/>
  <c r="P11" i="6"/>
  <c r="V10" i="6"/>
  <c r="Z10" i="6"/>
  <c r="AC10" i="6" s="1"/>
  <c r="O9" i="2"/>
  <c r="P10" i="6"/>
  <c r="V9" i="6"/>
  <c r="Z9" i="6"/>
  <c r="AC9" i="6" s="1"/>
  <c r="P9" i="6"/>
  <c r="O8" i="2"/>
  <c r="V8" i="6"/>
  <c r="Z8" i="6"/>
  <c r="AC8" i="6" s="1"/>
  <c r="O7" i="2"/>
  <c r="P8" i="6"/>
  <c r="V7" i="6"/>
  <c r="Z7" i="6"/>
  <c r="AC7" i="6" s="1"/>
  <c r="O6" i="2"/>
  <c r="P7" i="6"/>
  <c r="V6" i="6"/>
  <c r="Z6" i="6"/>
  <c r="AC6" i="6" s="1"/>
  <c r="P6" i="6"/>
  <c r="O5" i="2"/>
  <c r="V5" i="6"/>
  <c r="Z5" i="6"/>
  <c r="AC5" i="6" s="1"/>
  <c r="O4" i="2"/>
  <c r="P5" i="6"/>
  <c r="H9" i="10" l="1"/>
  <c r="H7" i="10"/>
  <c r="H6" i="10"/>
  <c r="I6" i="10" s="1"/>
  <c r="J6" i="10" s="1"/>
  <c r="I9" i="10"/>
  <c r="J9" i="10" s="1"/>
  <c r="N7" i="5"/>
  <c r="I12" i="10"/>
  <c r="J12" i="10" s="1"/>
  <c r="I8" i="10"/>
  <c r="J8" i="10" s="1"/>
  <c r="D42" i="7"/>
  <c r="E42" i="7"/>
  <c r="D43" i="7"/>
  <c r="E43" i="7"/>
  <c r="E41" i="7"/>
  <c r="D41" i="7"/>
  <c r="D44" i="7"/>
  <c r="E44" i="7"/>
  <c r="E40" i="7"/>
  <c r="D40" i="7"/>
  <c r="D39" i="7"/>
  <c r="E39" i="7"/>
  <c r="D34" i="7"/>
  <c r="E34" i="7"/>
  <c r="D33" i="7"/>
  <c r="E33" i="7"/>
  <c r="D29" i="7"/>
  <c r="E29" i="7"/>
  <c r="E28" i="7"/>
  <c r="D28" i="7"/>
  <c r="N10" i="5"/>
  <c r="E10" i="10" s="1"/>
  <c r="F10" i="10" s="1"/>
  <c r="G10" i="10" s="1"/>
  <c r="I10" i="10" s="1"/>
  <c r="J10" i="10" s="1"/>
  <c r="T105" i="6"/>
  <c r="U105" i="6" s="1"/>
  <c r="T104" i="6"/>
  <c r="U104" i="6" s="1"/>
  <c r="T101" i="6"/>
  <c r="U101" i="6" s="1"/>
  <c r="AD101" i="6" s="1"/>
  <c r="W101" i="6" s="1"/>
  <c r="T100" i="6"/>
  <c r="U100" i="6" s="1"/>
  <c r="T97" i="6"/>
  <c r="U97" i="6" s="1"/>
  <c r="T96" i="6"/>
  <c r="U96" i="6" s="1"/>
  <c r="T95" i="6"/>
  <c r="U95" i="6" s="1"/>
  <c r="T94" i="6"/>
  <c r="U94" i="6" s="1"/>
  <c r="T84" i="6"/>
  <c r="U84" i="6" s="1"/>
  <c r="T83" i="6"/>
  <c r="U83" i="6" s="1"/>
  <c r="T82" i="6"/>
  <c r="U82" i="6" s="1"/>
  <c r="T80" i="6"/>
  <c r="U80" i="6" s="1"/>
  <c r="T79" i="6"/>
  <c r="U79" i="6" s="1"/>
  <c r="AD79" i="6" s="1"/>
  <c r="W79" i="6" s="1"/>
  <c r="T73" i="6"/>
  <c r="U73" i="6" s="1"/>
  <c r="T70" i="6"/>
  <c r="U70" i="6" s="1"/>
  <c r="AD70" i="6" s="1"/>
  <c r="W70" i="6" s="1"/>
  <c r="T68" i="6"/>
  <c r="U68" i="6" s="1"/>
  <c r="T67" i="6"/>
  <c r="U67" i="6" s="1"/>
  <c r="T65" i="6"/>
  <c r="U65" i="6" s="1"/>
  <c r="T64" i="6"/>
  <c r="U64" i="6" s="1"/>
  <c r="AD64" i="6" s="1"/>
  <c r="W64" i="6" s="1"/>
  <c r="T61" i="6"/>
  <c r="U61" i="6" s="1"/>
  <c r="T58" i="6"/>
  <c r="U58" i="6" s="1"/>
  <c r="AD58" i="6" s="1"/>
  <c r="W58" i="6" s="1"/>
  <c r="T57" i="6"/>
  <c r="U57" i="6" s="1"/>
  <c r="AD57" i="6" s="1"/>
  <c r="W57" i="6" s="1"/>
  <c r="T56" i="6"/>
  <c r="U56" i="6" s="1"/>
  <c r="T52" i="6"/>
  <c r="U52" i="6" s="1"/>
  <c r="AD52" i="6" s="1"/>
  <c r="W52" i="6" s="1"/>
  <c r="T50" i="6"/>
  <c r="U50" i="6" s="1"/>
  <c r="AD50" i="6" s="1"/>
  <c r="W50" i="6" s="1"/>
  <c r="T49" i="6"/>
  <c r="U49" i="6" s="1"/>
  <c r="AD49" i="6" s="1"/>
  <c r="W49" i="6" s="1"/>
  <c r="T47" i="6"/>
  <c r="U47" i="6" s="1"/>
  <c r="AD47" i="6" s="1"/>
  <c r="W47" i="6" s="1"/>
  <c r="T46" i="6"/>
  <c r="U46" i="6" s="1"/>
  <c r="AD46" i="6" s="1"/>
  <c r="W46" i="6" s="1"/>
  <c r="T45" i="6"/>
  <c r="U45" i="6" s="1"/>
  <c r="AD45" i="6" s="1"/>
  <c r="W45" i="6" s="1"/>
  <c r="T38" i="6"/>
  <c r="U38" i="6" s="1"/>
  <c r="T35" i="6"/>
  <c r="U35" i="6" s="1"/>
  <c r="AD35" i="6" s="1"/>
  <c r="W35" i="6" s="1"/>
  <c r="T34" i="6"/>
  <c r="U34" i="6" s="1"/>
  <c r="AD34" i="6" s="1"/>
  <c r="W34" i="6" s="1"/>
  <c r="T33" i="6"/>
  <c r="U33" i="6" s="1"/>
  <c r="AD33" i="6" s="1"/>
  <c r="W33" i="6" s="1"/>
  <c r="T30" i="6"/>
  <c r="U30" i="6" s="1"/>
  <c r="AD30" i="6" s="1"/>
  <c r="W30" i="6" s="1"/>
  <c r="T29" i="6"/>
  <c r="U29" i="6" s="1"/>
  <c r="AD29" i="6" s="1"/>
  <c r="W29" i="6" s="1"/>
  <c r="T25" i="6"/>
  <c r="U25" i="6" s="1"/>
  <c r="AD25" i="6" s="1"/>
  <c r="W25" i="6" s="1"/>
  <c r="T158" i="6"/>
  <c r="U158" i="6" s="1"/>
  <c r="T157" i="6"/>
  <c r="U157" i="6" s="1"/>
  <c r="T156" i="6"/>
  <c r="U156" i="6" s="1"/>
  <c r="T155" i="6"/>
  <c r="U155" i="6" s="1"/>
  <c r="T154" i="6"/>
  <c r="U154" i="6" s="1"/>
  <c r="T153" i="6"/>
  <c r="U153" i="6" s="1"/>
  <c r="T152" i="6"/>
  <c r="U152" i="6" s="1"/>
  <c r="T151" i="6"/>
  <c r="U151" i="6" s="1"/>
  <c r="T150" i="6"/>
  <c r="U150" i="6" s="1"/>
  <c r="T149" i="6"/>
  <c r="U149" i="6" s="1"/>
  <c r="T148" i="6"/>
  <c r="U148" i="6" s="1"/>
  <c r="T146" i="6"/>
  <c r="U146" i="6" s="1"/>
  <c r="T145" i="6"/>
  <c r="U145" i="6" s="1"/>
  <c r="T144" i="6"/>
  <c r="U144" i="6" s="1"/>
  <c r="T143" i="6"/>
  <c r="U143" i="6" s="1"/>
  <c r="T142" i="6"/>
  <c r="U142" i="6" s="1"/>
  <c r="T141" i="6"/>
  <c r="U141" i="6" s="1"/>
  <c r="T140" i="6"/>
  <c r="U140" i="6" s="1"/>
  <c r="T139" i="6"/>
  <c r="U139" i="6" s="1"/>
  <c r="T138" i="6"/>
  <c r="U138" i="6" s="1"/>
  <c r="T137" i="6"/>
  <c r="U137" i="6" s="1"/>
  <c r="T136" i="6"/>
  <c r="U136" i="6" s="1"/>
  <c r="T135" i="6"/>
  <c r="U135" i="6" s="1"/>
  <c r="T134" i="6"/>
  <c r="U134" i="6" s="1"/>
  <c r="T133" i="6"/>
  <c r="U133" i="6" s="1"/>
  <c r="T132" i="6"/>
  <c r="U132" i="6" s="1"/>
  <c r="T131" i="6"/>
  <c r="U131" i="6" s="1"/>
  <c r="T130" i="6"/>
  <c r="U130" i="6" s="1"/>
  <c r="T129" i="6"/>
  <c r="U129" i="6" s="1"/>
  <c r="T128" i="6"/>
  <c r="U128" i="6" s="1"/>
  <c r="T127" i="6"/>
  <c r="U127" i="6" s="1"/>
  <c r="T126" i="6"/>
  <c r="U126" i="6" s="1"/>
  <c r="AD126" i="6" s="1"/>
  <c r="W126" i="6" s="1"/>
  <c r="T125" i="6"/>
  <c r="U125" i="6" s="1"/>
  <c r="T124" i="6"/>
  <c r="U124" i="6" s="1"/>
  <c r="T123" i="6"/>
  <c r="U123" i="6" s="1"/>
  <c r="T122" i="6"/>
  <c r="U122" i="6" s="1"/>
  <c r="T121" i="6"/>
  <c r="U121" i="6" s="1"/>
  <c r="T120" i="6"/>
  <c r="U120" i="6" s="1"/>
  <c r="T119" i="6"/>
  <c r="U119" i="6" s="1"/>
  <c r="T118" i="6"/>
  <c r="U118" i="6" s="1"/>
  <c r="T117" i="6"/>
  <c r="U117" i="6" s="1"/>
  <c r="T116" i="6"/>
  <c r="U116" i="6" s="1"/>
  <c r="T115" i="6"/>
  <c r="U115" i="6" s="1"/>
  <c r="T114" i="6"/>
  <c r="U114" i="6" s="1"/>
  <c r="T113" i="6"/>
  <c r="U113" i="6" s="1"/>
  <c r="T112" i="6"/>
  <c r="U112" i="6" s="1"/>
  <c r="T111" i="6"/>
  <c r="U111" i="6" s="1"/>
  <c r="T110" i="6"/>
  <c r="U110" i="6" s="1"/>
  <c r="T109" i="6"/>
  <c r="U109" i="6" s="1"/>
  <c r="T106" i="6"/>
  <c r="U106" i="6" s="1"/>
  <c r="T103" i="6"/>
  <c r="U103" i="6" s="1"/>
  <c r="T102" i="6"/>
  <c r="U102" i="6" s="1"/>
  <c r="T98" i="6"/>
  <c r="U98" i="6" s="1"/>
  <c r="T92" i="6"/>
  <c r="U92" i="6" s="1"/>
  <c r="T89" i="6"/>
  <c r="U89" i="6" s="1"/>
  <c r="T77" i="6"/>
  <c r="U77" i="6" s="1"/>
  <c r="T76" i="6"/>
  <c r="U76" i="6" s="1"/>
  <c r="T72" i="6"/>
  <c r="U72" i="6" s="1"/>
  <c r="T71" i="6"/>
  <c r="U71" i="6" s="1"/>
  <c r="AD71" i="6" s="1"/>
  <c r="W71" i="6" s="1"/>
  <c r="T66" i="6"/>
  <c r="U66" i="6" s="1"/>
  <c r="T63" i="6"/>
  <c r="U63" i="6" s="1"/>
  <c r="AD63" i="6" s="1"/>
  <c r="W63" i="6" s="1"/>
  <c r="T62" i="6"/>
  <c r="U62" i="6" s="1"/>
  <c r="AD62" i="6" s="1"/>
  <c r="W62" i="6" s="1"/>
  <c r="T60" i="6"/>
  <c r="U60" i="6" s="1"/>
  <c r="AD60" i="6" s="1"/>
  <c r="W60" i="6" s="1"/>
  <c r="T55" i="6"/>
  <c r="U55" i="6" s="1"/>
  <c r="T53" i="6"/>
  <c r="U53" i="6" s="1"/>
  <c r="AD53" i="6" s="1"/>
  <c r="W53" i="6" s="1"/>
  <c r="T48" i="6"/>
  <c r="U48" i="6" s="1"/>
  <c r="AD48" i="6" s="1"/>
  <c r="W48" i="6" s="1"/>
  <c r="T43" i="6"/>
  <c r="U43" i="6" s="1"/>
  <c r="AD43" i="6" s="1"/>
  <c r="W43" i="6" s="1"/>
  <c r="T42" i="6"/>
  <c r="U42" i="6" s="1"/>
  <c r="AD42" i="6" s="1"/>
  <c r="W42" i="6" s="1"/>
  <c r="T41" i="6"/>
  <c r="U41" i="6" s="1"/>
  <c r="T40" i="6"/>
  <c r="U40" i="6" s="1"/>
  <c r="AD40" i="6" s="1"/>
  <c r="W40" i="6" s="1"/>
  <c r="T39" i="6"/>
  <c r="U39" i="6" s="1"/>
  <c r="AD39" i="6" s="1"/>
  <c r="W39" i="6" s="1"/>
  <c r="T37" i="6"/>
  <c r="U37" i="6" s="1"/>
  <c r="AD37" i="6" s="1"/>
  <c r="W37" i="6" s="1"/>
  <c r="T36" i="6"/>
  <c r="U36" i="6" s="1"/>
  <c r="AD36" i="6" s="1"/>
  <c r="W36" i="6" s="1"/>
  <c r="T28" i="6"/>
  <c r="U28" i="6" s="1"/>
  <c r="AD28" i="6" s="1"/>
  <c r="W28" i="6" s="1"/>
  <c r="T27" i="6"/>
  <c r="U27" i="6" s="1"/>
  <c r="AD27" i="6" s="1"/>
  <c r="W27" i="6" s="1"/>
  <c r="T108" i="6"/>
  <c r="U108" i="6" s="1"/>
  <c r="T107" i="6"/>
  <c r="U107" i="6" s="1"/>
  <c r="AD107" i="6" s="1"/>
  <c r="W107" i="6" s="1"/>
  <c r="T99" i="6"/>
  <c r="U99" i="6" s="1"/>
  <c r="T93" i="6"/>
  <c r="U93" i="6" s="1"/>
  <c r="T91" i="6"/>
  <c r="U91" i="6" s="1"/>
  <c r="T90" i="6"/>
  <c r="U90" i="6" s="1"/>
  <c r="T88" i="6"/>
  <c r="U88" i="6" s="1"/>
  <c r="AD88" i="6" s="1"/>
  <c r="W88" i="6" s="1"/>
  <c r="T87" i="6"/>
  <c r="U87" i="6" s="1"/>
  <c r="AD87" i="6" s="1"/>
  <c r="W87" i="6" s="1"/>
  <c r="T86" i="6"/>
  <c r="U86" i="6" s="1"/>
  <c r="T85" i="6"/>
  <c r="U85" i="6" s="1"/>
  <c r="T81" i="6"/>
  <c r="U81" i="6" s="1"/>
  <c r="T78" i="6"/>
  <c r="U78" i="6" s="1"/>
  <c r="T75" i="6"/>
  <c r="U75" i="6" s="1"/>
  <c r="T74" i="6"/>
  <c r="U74" i="6" s="1"/>
  <c r="AD74" i="6" s="1"/>
  <c r="W74" i="6" s="1"/>
  <c r="T69" i="6"/>
  <c r="U69" i="6" s="1"/>
  <c r="AD69" i="6" s="1"/>
  <c r="W69" i="6" s="1"/>
  <c r="T59" i="6"/>
  <c r="U59" i="6" s="1"/>
  <c r="AD59" i="6" s="1"/>
  <c r="W59" i="6" s="1"/>
  <c r="T54" i="6"/>
  <c r="U54" i="6" s="1"/>
  <c r="T51" i="6"/>
  <c r="U51" i="6" s="1"/>
  <c r="T44" i="6"/>
  <c r="U44" i="6" s="1"/>
  <c r="AD44" i="6" s="1"/>
  <c r="W44" i="6" s="1"/>
  <c r="T32" i="6"/>
  <c r="U32" i="6" s="1"/>
  <c r="AD32" i="6" s="1"/>
  <c r="W32" i="6" s="1"/>
  <c r="T31" i="6"/>
  <c r="U31" i="6" s="1"/>
  <c r="AD31" i="6" s="1"/>
  <c r="W31" i="6" s="1"/>
  <c r="T26" i="6"/>
  <c r="U26" i="6" s="1"/>
  <c r="AD26" i="6" s="1"/>
  <c r="W26" i="6" s="1"/>
  <c r="O13" i="9"/>
  <c r="P13" i="9" s="1"/>
  <c r="O14" i="9"/>
  <c r="G13" i="9"/>
  <c r="H13" i="9" s="1"/>
  <c r="G14" i="9"/>
  <c r="AA162" i="6"/>
  <c r="AA17" i="6"/>
  <c r="B6" i="6"/>
  <c r="T147" i="6"/>
  <c r="U147" i="6" s="1"/>
  <c r="P150" i="6"/>
  <c r="P154" i="6"/>
  <c r="P155" i="6"/>
  <c r="P163" i="6"/>
  <c r="P148" i="6"/>
  <c r="B5" i="7"/>
  <c r="P153" i="6"/>
  <c r="P157" i="6"/>
  <c r="P160" i="6"/>
  <c r="P164" i="6"/>
  <c r="P152" i="6"/>
  <c r="P156" i="6"/>
  <c r="P158" i="6"/>
  <c r="P161" i="6"/>
  <c r="AA126" i="6"/>
  <c r="Q126" i="6"/>
  <c r="AA107" i="6"/>
  <c r="Q107" i="6"/>
  <c r="AA101" i="6"/>
  <c r="Q101" i="6"/>
  <c r="AA88" i="6"/>
  <c r="Q88" i="6"/>
  <c r="AA87" i="6"/>
  <c r="Q87" i="6"/>
  <c r="AA79" i="6"/>
  <c r="Q79" i="6"/>
  <c r="AA74" i="6"/>
  <c r="Q74" i="6"/>
  <c r="AA71" i="6"/>
  <c r="Q71" i="6"/>
  <c r="AA70" i="6"/>
  <c r="Q70" i="6"/>
  <c r="AA69" i="6"/>
  <c r="Q69" i="6"/>
  <c r="AA64" i="6"/>
  <c r="Q64" i="6"/>
  <c r="AA63" i="6"/>
  <c r="Q63" i="6"/>
  <c r="AA62" i="6"/>
  <c r="Q62" i="6"/>
  <c r="AA60" i="6"/>
  <c r="Q60" i="6"/>
  <c r="AA59" i="6"/>
  <c r="Q59" i="6"/>
  <c r="AA58" i="6"/>
  <c r="Q58" i="6"/>
  <c r="AA57" i="6"/>
  <c r="Q57" i="6"/>
  <c r="AA53" i="6"/>
  <c r="Q53" i="6"/>
  <c r="AA52" i="6"/>
  <c r="Q52" i="6"/>
  <c r="AA50" i="6"/>
  <c r="Q50" i="6"/>
  <c r="AA49" i="6"/>
  <c r="Q49" i="6"/>
  <c r="AA48" i="6"/>
  <c r="Q48" i="6"/>
  <c r="AA47" i="6"/>
  <c r="Q47" i="6"/>
  <c r="AA46" i="6"/>
  <c r="Q46" i="6"/>
  <c r="AA45" i="6"/>
  <c r="Q45" i="6"/>
  <c r="AA44" i="6"/>
  <c r="Q44" i="6"/>
  <c r="AA43" i="6"/>
  <c r="Q43" i="6"/>
  <c r="AA42" i="6"/>
  <c r="Q42" i="6"/>
  <c r="AA40" i="6"/>
  <c r="Q40" i="6"/>
  <c r="AA39" i="6"/>
  <c r="Q39" i="6"/>
  <c r="AA37" i="6"/>
  <c r="Q37" i="6"/>
  <c r="AA36" i="6"/>
  <c r="Q36" i="6"/>
  <c r="AA35" i="6"/>
  <c r="Q35" i="6"/>
  <c r="AA34" i="6"/>
  <c r="Q34" i="6"/>
  <c r="AA33" i="6"/>
  <c r="Q33" i="6"/>
  <c r="AA32" i="6"/>
  <c r="Q32" i="6"/>
  <c r="AA31" i="6"/>
  <c r="Q31" i="6"/>
  <c r="AA30" i="6"/>
  <c r="Q30" i="6"/>
  <c r="AA29" i="6"/>
  <c r="Q29" i="6"/>
  <c r="AA28" i="6"/>
  <c r="Q28" i="6"/>
  <c r="AA27" i="6"/>
  <c r="Q27" i="6"/>
  <c r="AA26" i="6"/>
  <c r="AA25" i="6"/>
  <c r="Q25" i="6"/>
  <c r="AA24" i="6"/>
  <c r="Q24" i="6"/>
  <c r="AA23" i="6"/>
  <c r="Q23" i="6"/>
  <c r="AA22" i="6"/>
  <c r="Q22" i="6"/>
  <c r="AA21" i="6"/>
  <c r="Q21" i="6"/>
  <c r="AA20" i="6"/>
  <c r="Q20" i="6"/>
  <c r="AA18" i="6"/>
  <c r="Q18" i="6"/>
  <c r="AA16" i="6"/>
  <c r="Q16" i="6"/>
  <c r="AA15" i="6"/>
  <c r="Q15" i="6"/>
  <c r="AA14" i="6"/>
  <c r="AA13" i="6"/>
  <c r="Q13" i="6"/>
  <c r="AA12" i="6"/>
  <c r="Q12" i="6"/>
  <c r="AA11" i="6"/>
  <c r="Q11" i="6"/>
  <c r="AA10" i="6"/>
  <c r="Q10" i="6"/>
  <c r="AA9" i="6"/>
  <c r="Q9" i="6"/>
  <c r="AA8" i="6"/>
  <c r="Q8" i="6"/>
  <c r="AA7" i="6"/>
  <c r="Q7" i="6"/>
  <c r="AA6" i="6"/>
  <c r="Q6" i="6"/>
  <c r="AA5" i="6"/>
  <c r="A5" i="4"/>
  <c r="B5" i="4" s="1"/>
  <c r="A6" i="4"/>
  <c r="B6" i="4" s="1"/>
  <c r="A7" i="4"/>
  <c r="B7" i="4" s="1"/>
  <c r="A8" i="4"/>
  <c r="B8" i="4" s="1"/>
  <c r="A9" i="4"/>
  <c r="B9" i="4" s="1"/>
  <c r="A10" i="4"/>
  <c r="B10" i="4" s="1"/>
  <c r="A11" i="4"/>
  <c r="B11" i="4" s="1"/>
  <c r="A12" i="4"/>
  <c r="B12" i="4" s="1"/>
  <c r="A13" i="4"/>
  <c r="B13" i="4" s="1"/>
  <c r="A14" i="4"/>
  <c r="B14" i="4" s="1"/>
  <c r="A15" i="4"/>
  <c r="B15" i="4" s="1"/>
  <c r="A16" i="4"/>
  <c r="B16" i="4" s="1"/>
  <c r="A17" i="4"/>
  <c r="B17" i="4" s="1"/>
  <c r="A18" i="4"/>
  <c r="B18" i="4" s="1"/>
  <c r="A19" i="4"/>
  <c r="B19" i="4" s="1"/>
  <c r="A20" i="4"/>
  <c r="B20" i="4" s="1"/>
  <c r="A21" i="4"/>
  <c r="B21" i="4" s="1"/>
  <c r="A22" i="4"/>
  <c r="B22" i="4" s="1"/>
  <c r="A23" i="4"/>
  <c r="B23" i="4" s="1"/>
  <c r="A24" i="4"/>
  <c r="B24" i="4" s="1"/>
  <c r="A25" i="4"/>
  <c r="B25" i="4" s="1"/>
  <c r="A26" i="4"/>
  <c r="B26" i="4" s="1"/>
  <c r="A27" i="4"/>
  <c r="B27" i="4" s="1"/>
  <c r="A28" i="4"/>
  <c r="B28" i="4" s="1"/>
  <c r="A29" i="4"/>
  <c r="B29" i="4" s="1"/>
  <c r="A30" i="4"/>
  <c r="B30" i="4" s="1"/>
  <c r="A31" i="4"/>
  <c r="B31" i="4" s="1"/>
  <c r="A32" i="4"/>
  <c r="B32" i="4" s="1"/>
  <c r="A33" i="4"/>
  <c r="B33" i="4" s="1"/>
  <c r="A34" i="4"/>
  <c r="B34" i="4" s="1"/>
  <c r="A35" i="4"/>
  <c r="B35" i="4" s="1"/>
  <c r="A36" i="4"/>
  <c r="B36" i="4" s="1"/>
  <c r="A37" i="4"/>
  <c r="B37" i="4" s="1"/>
  <c r="A38" i="4"/>
  <c r="B38" i="4" s="1"/>
  <c r="A39" i="4"/>
  <c r="B39" i="4" s="1"/>
  <c r="A40" i="4"/>
  <c r="B40" i="4" s="1"/>
  <c r="A41" i="4"/>
  <c r="B41" i="4" s="1"/>
  <c r="A42" i="4"/>
  <c r="B42" i="4" s="1"/>
  <c r="A43" i="4"/>
  <c r="B43" i="4" s="1"/>
  <c r="A44" i="4"/>
  <c r="B44" i="4" s="1"/>
  <c r="A45" i="4"/>
  <c r="B45" i="4" s="1"/>
  <c r="A46" i="4"/>
  <c r="B46" i="4" s="1"/>
  <c r="A47" i="4"/>
  <c r="B47" i="4" s="1"/>
  <c r="A48" i="4"/>
  <c r="B48" i="4" s="1"/>
  <c r="A49" i="4"/>
  <c r="B49" i="4" s="1"/>
  <c r="A50" i="4"/>
  <c r="B50" i="4" s="1"/>
  <c r="A51" i="4"/>
  <c r="B51" i="4" s="1"/>
  <c r="A52" i="4"/>
  <c r="B52" i="4" s="1"/>
  <c r="A53" i="4"/>
  <c r="B53" i="4" s="1"/>
  <c r="A54" i="4"/>
  <c r="B54" i="4" s="1"/>
  <c r="A55" i="4"/>
  <c r="B55" i="4" s="1"/>
  <c r="A56" i="4"/>
  <c r="B56" i="4" s="1"/>
  <c r="A57" i="4"/>
  <c r="B57" i="4" s="1"/>
  <c r="A58" i="4"/>
  <c r="B58" i="4" s="1"/>
  <c r="A59" i="4"/>
  <c r="B59" i="4" s="1"/>
  <c r="A60" i="4"/>
  <c r="B60" i="4" s="1"/>
  <c r="A61" i="4"/>
  <c r="B61" i="4" s="1"/>
  <c r="A62" i="4"/>
  <c r="B62" i="4" s="1"/>
  <c r="A63" i="4"/>
  <c r="B63" i="4" s="1"/>
  <c r="A64" i="4"/>
  <c r="B64" i="4" s="1"/>
  <c r="A65" i="4"/>
  <c r="B65" i="4" s="1"/>
  <c r="A66" i="4"/>
  <c r="B66" i="4" s="1"/>
  <c r="A67" i="4"/>
  <c r="B67" i="4" s="1"/>
  <c r="A68" i="4"/>
  <c r="B68" i="4" s="1"/>
  <c r="A69" i="4"/>
  <c r="B69" i="4" s="1"/>
  <c r="A70" i="4"/>
  <c r="B70" i="4" s="1"/>
  <c r="A71" i="4"/>
  <c r="B71" i="4" s="1"/>
  <c r="A72" i="4"/>
  <c r="B72" i="4" s="1"/>
  <c r="A73" i="4"/>
  <c r="B73" i="4" s="1"/>
  <c r="A74" i="4"/>
  <c r="B74" i="4" s="1"/>
  <c r="A75" i="4"/>
  <c r="B75" i="4" s="1"/>
  <c r="A76" i="4"/>
  <c r="B76" i="4" s="1"/>
  <c r="A77" i="4"/>
  <c r="B77" i="4" s="1"/>
  <c r="A78" i="4"/>
  <c r="B78" i="4" s="1"/>
  <c r="A79" i="4"/>
  <c r="B79" i="4" s="1"/>
  <c r="A80" i="4"/>
  <c r="B80" i="4" s="1"/>
  <c r="A81" i="4"/>
  <c r="B81" i="4" s="1"/>
  <c r="A82" i="4"/>
  <c r="B82" i="4" s="1"/>
  <c r="A83" i="4"/>
  <c r="B83" i="4" s="1"/>
  <c r="A84" i="4"/>
  <c r="B84" i="4" s="1"/>
  <c r="A85" i="4"/>
  <c r="B85" i="4" s="1"/>
  <c r="A86" i="4"/>
  <c r="B86" i="4" s="1"/>
  <c r="A87" i="4"/>
  <c r="B87" i="4" s="1"/>
  <c r="A88" i="4"/>
  <c r="B88" i="4" s="1"/>
  <c r="A89" i="4"/>
  <c r="B89" i="4" s="1"/>
  <c r="A90" i="4"/>
  <c r="B90" i="4" s="1"/>
  <c r="A91" i="4"/>
  <c r="B91" i="4" s="1"/>
  <c r="A92" i="4"/>
  <c r="B92" i="4" s="1"/>
  <c r="A93" i="4"/>
  <c r="B93" i="4" s="1"/>
  <c r="A94" i="4"/>
  <c r="B94" i="4" s="1"/>
  <c r="A95" i="4"/>
  <c r="B95" i="4" s="1"/>
  <c r="A96" i="4"/>
  <c r="B96" i="4" s="1"/>
  <c r="A97" i="4"/>
  <c r="B97" i="4" s="1"/>
  <c r="A98" i="4"/>
  <c r="B98" i="4" s="1"/>
  <c r="A99" i="4"/>
  <c r="B99" i="4" s="1"/>
  <c r="A100" i="4"/>
  <c r="B100" i="4" s="1"/>
  <c r="A101" i="4"/>
  <c r="B101" i="4" s="1"/>
  <c r="A102" i="4"/>
  <c r="B102" i="4" s="1"/>
  <c r="A103" i="4"/>
  <c r="B103" i="4" s="1"/>
  <c r="A104" i="4"/>
  <c r="B104" i="4" s="1"/>
  <c r="A105" i="4"/>
  <c r="B105" i="4" s="1"/>
  <c r="A106" i="4"/>
  <c r="B106" i="4" s="1"/>
  <c r="A107" i="4"/>
  <c r="B107" i="4" s="1"/>
  <c r="A108" i="4"/>
  <c r="B108" i="4" s="1"/>
  <c r="A109" i="4"/>
  <c r="B109" i="4" s="1"/>
  <c r="A110" i="4"/>
  <c r="B110" i="4" s="1"/>
  <c r="A111" i="4"/>
  <c r="B111" i="4" s="1"/>
  <c r="A112" i="4"/>
  <c r="B112" i="4" s="1"/>
  <c r="A113" i="4"/>
  <c r="B113" i="4" s="1"/>
  <c r="A114" i="4"/>
  <c r="B114" i="4" s="1"/>
  <c r="A115" i="4"/>
  <c r="B115" i="4" s="1"/>
  <c r="A116" i="4"/>
  <c r="B116" i="4" s="1"/>
  <c r="A117" i="4"/>
  <c r="B117" i="4" s="1"/>
  <c r="A118" i="4"/>
  <c r="B118" i="4" s="1"/>
  <c r="A119" i="4"/>
  <c r="B119" i="4" s="1"/>
  <c r="A120" i="4"/>
  <c r="B120" i="4" s="1"/>
  <c r="A121" i="4"/>
  <c r="B121" i="4" s="1"/>
  <c r="A122" i="4"/>
  <c r="B122" i="4" s="1"/>
  <c r="A123" i="4"/>
  <c r="B123" i="4" s="1"/>
  <c r="A124" i="4"/>
  <c r="B124" i="4" s="1"/>
  <c r="A125" i="4"/>
  <c r="B125" i="4" s="1"/>
  <c r="A126" i="4"/>
  <c r="B126" i="4" s="1"/>
  <c r="A127" i="4"/>
  <c r="B127" i="4" s="1"/>
  <c r="A128" i="4"/>
  <c r="B128" i="4" s="1"/>
  <c r="A129" i="4"/>
  <c r="B129" i="4" s="1"/>
  <c r="A130" i="4"/>
  <c r="B130" i="4" s="1"/>
  <c r="A131" i="4"/>
  <c r="B131" i="4" s="1"/>
  <c r="A132" i="4"/>
  <c r="B132" i="4" s="1"/>
  <c r="A133" i="4"/>
  <c r="B133" i="4" s="1"/>
  <c r="A134" i="4"/>
  <c r="B134" i="4" s="1"/>
  <c r="A135" i="4"/>
  <c r="B135" i="4" s="1"/>
  <c r="A136" i="4"/>
  <c r="B136" i="4" s="1"/>
  <c r="A137" i="4"/>
  <c r="B137" i="4" s="1"/>
  <c r="A138" i="4"/>
  <c r="B138" i="4" s="1"/>
  <c r="A139" i="4"/>
  <c r="B139" i="4" s="1"/>
  <c r="A140" i="4"/>
  <c r="B140" i="4" s="1"/>
  <c r="A141" i="4"/>
  <c r="B141" i="4" s="1"/>
  <c r="A147" i="4"/>
  <c r="B147" i="4" s="1"/>
  <c r="A150" i="4"/>
  <c r="B150" i="4" s="1"/>
  <c r="A153" i="4"/>
  <c r="B153" i="4" s="1"/>
  <c r="A155" i="4"/>
  <c r="B155" i="4" s="1"/>
  <c r="A159" i="4"/>
  <c r="B159" i="4" s="1"/>
  <c r="A163" i="4"/>
  <c r="B163" i="4" s="1"/>
  <c r="A142" i="4"/>
  <c r="B142" i="4" s="1"/>
  <c r="A144" i="4"/>
  <c r="B144" i="4" s="1"/>
  <c r="A146" i="4"/>
  <c r="B146" i="4" s="1"/>
  <c r="A148" i="4"/>
  <c r="B148" i="4" s="1"/>
  <c r="A149" i="4"/>
  <c r="B149" i="4" s="1"/>
  <c r="A151" i="4"/>
  <c r="B151" i="4" s="1"/>
  <c r="A154" i="4"/>
  <c r="B154" i="4" s="1"/>
  <c r="A156" i="4"/>
  <c r="B156" i="4" s="1"/>
  <c r="A158" i="4"/>
  <c r="B158" i="4" s="1"/>
  <c r="A161" i="4"/>
  <c r="B161" i="4" s="1"/>
  <c r="A143" i="4"/>
  <c r="B143" i="4" s="1"/>
  <c r="A145" i="4"/>
  <c r="B145" i="4" s="1"/>
  <c r="A152" i="4"/>
  <c r="B152" i="4" s="1"/>
  <c r="A157" i="4"/>
  <c r="B157" i="4" s="1"/>
  <c r="A160" i="4"/>
  <c r="B160" i="4" s="1"/>
  <c r="A162" i="4"/>
  <c r="B162" i="4" s="1"/>
  <c r="A164" i="4"/>
  <c r="B164" i="4" s="1"/>
  <c r="Q5" i="6"/>
  <c r="B8" i="6"/>
  <c r="T24" i="6"/>
  <c r="U24" i="6" s="1"/>
  <c r="AD24" i="6" s="1"/>
  <c r="W24" i="6" s="1"/>
  <c r="T23" i="6"/>
  <c r="U23" i="6" s="1"/>
  <c r="AD23" i="6" s="1"/>
  <c r="W23" i="6" s="1"/>
  <c r="T22" i="6"/>
  <c r="U22" i="6" s="1"/>
  <c r="AD22" i="6" s="1"/>
  <c r="W22" i="6" s="1"/>
  <c r="T21" i="6"/>
  <c r="U21" i="6" s="1"/>
  <c r="AD21" i="6" s="1"/>
  <c r="W21" i="6" s="1"/>
  <c r="T20" i="6"/>
  <c r="U20" i="6" s="1"/>
  <c r="AD20" i="6" s="1"/>
  <c r="W20" i="6" s="1"/>
  <c r="T19" i="6"/>
  <c r="U19" i="6" s="1"/>
  <c r="T18" i="6"/>
  <c r="U18" i="6" s="1"/>
  <c r="AD18" i="6" s="1"/>
  <c r="W18" i="6" s="1"/>
  <c r="T17" i="6"/>
  <c r="U17" i="6" s="1"/>
  <c r="AD17" i="6" s="1"/>
  <c r="W17" i="6" s="1"/>
  <c r="T16" i="6"/>
  <c r="U16" i="6" s="1"/>
  <c r="AD16" i="6" s="1"/>
  <c r="W16" i="6" s="1"/>
  <c r="T15" i="6"/>
  <c r="U15" i="6" s="1"/>
  <c r="AD15" i="6" s="1"/>
  <c r="W15" i="6" s="1"/>
  <c r="T14" i="6"/>
  <c r="U14" i="6" s="1"/>
  <c r="AD14" i="6" s="1"/>
  <c r="W14" i="6" s="1"/>
  <c r="T13" i="6"/>
  <c r="U13" i="6" s="1"/>
  <c r="AD13" i="6" s="1"/>
  <c r="W13" i="6" s="1"/>
  <c r="T12" i="6"/>
  <c r="U12" i="6" s="1"/>
  <c r="AD12" i="6" s="1"/>
  <c r="W12" i="6" s="1"/>
  <c r="T11" i="6"/>
  <c r="U11" i="6" s="1"/>
  <c r="AD11" i="6" s="1"/>
  <c r="W11" i="6" s="1"/>
  <c r="T10" i="6"/>
  <c r="U10" i="6" s="1"/>
  <c r="AD10" i="6" s="1"/>
  <c r="W10" i="6" s="1"/>
  <c r="T9" i="6"/>
  <c r="U9" i="6" s="1"/>
  <c r="AD9" i="6" s="1"/>
  <c r="W9" i="6" s="1"/>
  <c r="T8" i="6"/>
  <c r="U8" i="6" s="1"/>
  <c r="AD8" i="6" s="1"/>
  <c r="W8" i="6" s="1"/>
  <c r="T7" i="6"/>
  <c r="U7" i="6" s="1"/>
  <c r="AD7" i="6" s="1"/>
  <c r="W7" i="6" s="1"/>
  <c r="T6" i="6"/>
  <c r="U6" i="6" s="1"/>
  <c r="AD6" i="6" s="1"/>
  <c r="W6" i="6" s="1"/>
  <c r="T5" i="6"/>
  <c r="U5" i="6" s="1"/>
  <c r="AD5" i="6" s="1"/>
  <c r="W5" i="6" s="1"/>
  <c r="T164" i="6"/>
  <c r="U164" i="6" s="1"/>
  <c r="T163" i="6"/>
  <c r="U163" i="6" s="1"/>
  <c r="T162" i="6"/>
  <c r="U162" i="6" s="1"/>
  <c r="AD162" i="6" s="1"/>
  <c r="W162" i="6" s="1"/>
  <c r="T161" i="6"/>
  <c r="U161" i="6" s="1"/>
  <c r="T160" i="6"/>
  <c r="U160" i="6" s="1"/>
  <c r="T159" i="6"/>
  <c r="U159" i="6" s="1"/>
  <c r="E7" i="10" l="1"/>
  <c r="F7" i="10" s="1"/>
  <c r="G7" i="10" s="1"/>
  <c r="I7" i="10" s="1"/>
  <c r="J7" i="10" s="1"/>
  <c r="B7" i="6"/>
  <c r="B7" i="7" s="1"/>
  <c r="J9" i="9"/>
  <c r="P14" i="9"/>
  <c r="B9" i="9"/>
  <c r="H14" i="9"/>
  <c r="P151" i="6"/>
  <c r="P159" i="6"/>
  <c r="P149" i="6"/>
  <c r="P41" i="6"/>
  <c r="P105" i="6"/>
  <c r="P106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B6" i="7"/>
  <c r="Q150" i="6"/>
  <c r="Q154" i="6"/>
  <c r="Q155" i="6"/>
  <c r="Q163" i="6"/>
  <c r="Q148" i="6"/>
  <c r="K7" i="7"/>
  <c r="L8" i="7"/>
  <c r="J3" i="7"/>
  <c r="L5" i="7"/>
  <c r="K6" i="7"/>
  <c r="L6" i="7"/>
  <c r="M6" i="7" s="1"/>
  <c r="N6" i="7" s="1"/>
  <c r="L7" i="7"/>
  <c r="M7" i="7" s="1"/>
  <c r="N7" i="7" s="1"/>
  <c r="K5" i="7"/>
  <c r="K8" i="7"/>
  <c r="Q153" i="6"/>
  <c r="Q157" i="6"/>
  <c r="Q160" i="6"/>
  <c r="Q164" i="6"/>
  <c r="Q152" i="6"/>
  <c r="Q156" i="6"/>
  <c r="Q158" i="6"/>
  <c r="Q161" i="6"/>
  <c r="C5" i="4"/>
  <c r="O25" i="3" s="1"/>
  <c r="D5" i="4"/>
  <c r="E5" i="4"/>
  <c r="F5" i="4"/>
  <c r="G5" i="4"/>
  <c r="H5" i="4"/>
  <c r="I5" i="4"/>
  <c r="J5" i="4"/>
  <c r="K5" i="4"/>
  <c r="N25" i="3"/>
  <c r="Q25" i="3" s="1"/>
  <c r="C6" i="4"/>
  <c r="O26" i="3" s="1"/>
  <c r="D6" i="4"/>
  <c r="E6" i="4"/>
  <c r="F6" i="4"/>
  <c r="G6" i="4"/>
  <c r="H6" i="4"/>
  <c r="I6" i="4"/>
  <c r="J6" i="4"/>
  <c r="K6" i="4"/>
  <c r="N26" i="3"/>
  <c r="Q26" i="3" s="1"/>
  <c r="C7" i="4"/>
  <c r="O27" i="3" s="1"/>
  <c r="D7" i="4"/>
  <c r="E7" i="4"/>
  <c r="F7" i="4"/>
  <c r="G7" i="4"/>
  <c r="H7" i="4"/>
  <c r="I7" i="4"/>
  <c r="J7" i="4"/>
  <c r="K7" i="4"/>
  <c r="N27" i="3"/>
  <c r="Q27" i="3" s="1"/>
  <c r="C8" i="4"/>
  <c r="O28" i="3" s="1"/>
  <c r="D8" i="4"/>
  <c r="E8" i="4"/>
  <c r="F8" i="4"/>
  <c r="G8" i="4"/>
  <c r="H8" i="4"/>
  <c r="I8" i="4"/>
  <c r="J8" i="4"/>
  <c r="K8" i="4"/>
  <c r="N28" i="3"/>
  <c r="Q28" i="3" s="1"/>
  <c r="C9" i="4"/>
  <c r="O29" i="3" s="1"/>
  <c r="D9" i="4"/>
  <c r="E9" i="4"/>
  <c r="F9" i="4"/>
  <c r="G9" i="4"/>
  <c r="H9" i="4"/>
  <c r="I9" i="4"/>
  <c r="J9" i="4"/>
  <c r="K9" i="4"/>
  <c r="N29" i="3"/>
  <c r="Q29" i="3" s="1"/>
  <c r="C10" i="4"/>
  <c r="D10" i="4"/>
  <c r="E10" i="4"/>
  <c r="F10" i="4"/>
  <c r="G10" i="4"/>
  <c r="H10" i="4"/>
  <c r="I10" i="4"/>
  <c r="J10" i="4"/>
  <c r="K10" i="4"/>
  <c r="C11" i="4"/>
  <c r="D11" i="4"/>
  <c r="E11" i="4"/>
  <c r="F11" i="4"/>
  <c r="G11" i="4"/>
  <c r="H11" i="4"/>
  <c r="I11" i="4"/>
  <c r="J11" i="4"/>
  <c r="K11" i="4"/>
  <c r="C12" i="4"/>
  <c r="D12" i="4"/>
  <c r="E12" i="4"/>
  <c r="F12" i="4"/>
  <c r="G12" i="4"/>
  <c r="H12" i="4"/>
  <c r="I12" i="4"/>
  <c r="J12" i="4"/>
  <c r="K12" i="4"/>
  <c r="C13" i="4"/>
  <c r="D13" i="4"/>
  <c r="E13" i="4"/>
  <c r="F13" i="4"/>
  <c r="G13" i="4"/>
  <c r="H13" i="4"/>
  <c r="I13" i="4"/>
  <c r="J13" i="4"/>
  <c r="K13" i="4"/>
  <c r="C14" i="4"/>
  <c r="D14" i="4"/>
  <c r="E14" i="4"/>
  <c r="F14" i="4"/>
  <c r="G14" i="4"/>
  <c r="H14" i="4"/>
  <c r="I14" i="4"/>
  <c r="J14" i="4"/>
  <c r="K14" i="4"/>
  <c r="C15" i="4"/>
  <c r="D15" i="4"/>
  <c r="E15" i="4"/>
  <c r="F15" i="4"/>
  <c r="G15" i="4"/>
  <c r="H15" i="4"/>
  <c r="I15" i="4"/>
  <c r="J15" i="4"/>
  <c r="K15" i="4"/>
  <c r="C16" i="4"/>
  <c r="D16" i="4"/>
  <c r="E16" i="4"/>
  <c r="F16" i="4"/>
  <c r="G16" i="4"/>
  <c r="H16" i="4"/>
  <c r="I16" i="4"/>
  <c r="J16" i="4"/>
  <c r="K16" i="4"/>
  <c r="C17" i="4"/>
  <c r="D17" i="4"/>
  <c r="E17" i="4"/>
  <c r="F17" i="4"/>
  <c r="G17" i="4"/>
  <c r="H17" i="4"/>
  <c r="I17" i="4"/>
  <c r="J17" i="4"/>
  <c r="K17" i="4"/>
  <c r="C18" i="4"/>
  <c r="D18" i="4"/>
  <c r="E18" i="4"/>
  <c r="F18" i="4"/>
  <c r="G18" i="4"/>
  <c r="H18" i="4"/>
  <c r="I18" i="4"/>
  <c r="J18" i="4"/>
  <c r="K18" i="4"/>
  <c r="C19" i="4"/>
  <c r="D19" i="4"/>
  <c r="E19" i="4"/>
  <c r="F19" i="4"/>
  <c r="G19" i="4"/>
  <c r="H19" i="4"/>
  <c r="I19" i="4"/>
  <c r="J19" i="4"/>
  <c r="K19" i="4"/>
  <c r="C20" i="4"/>
  <c r="D20" i="4"/>
  <c r="E20" i="4"/>
  <c r="F20" i="4"/>
  <c r="G20" i="4"/>
  <c r="H20" i="4"/>
  <c r="I20" i="4"/>
  <c r="J20" i="4"/>
  <c r="K20" i="4"/>
  <c r="C21" i="4"/>
  <c r="D21" i="4"/>
  <c r="E21" i="4"/>
  <c r="F21" i="4"/>
  <c r="G21" i="4"/>
  <c r="H21" i="4"/>
  <c r="I21" i="4"/>
  <c r="J21" i="4"/>
  <c r="K21" i="4"/>
  <c r="C22" i="4"/>
  <c r="D22" i="4"/>
  <c r="E22" i="4"/>
  <c r="F22" i="4"/>
  <c r="G22" i="4"/>
  <c r="H22" i="4"/>
  <c r="I22" i="4"/>
  <c r="J22" i="4"/>
  <c r="K22" i="4"/>
  <c r="C23" i="4"/>
  <c r="D23" i="4"/>
  <c r="E23" i="4"/>
  <c r="F23" i="4"/>
  <c r="G23" i="4"/>
  <c r="H23" i="4"/>
  <c r="I23" i="4"/>
  <c r="J23" i="4"/>
  <c r="K23" i="4"/>
  <c r="C24" i="4"/>
  <c r="D24" i="4"/>
  <c r="E24" i="4"/>
  <c r="F24" i="4"/>
  <c r="G24" i="4"/>
  <c r="H24" i="4"/>
  <c r="I24" i="4"/>
  <c r="J24" i="4"/>
  <c r="K24" i="4"/>
  <c r="C25" i="4"/>
  <c r="D25" i="4"/>
  <c r="E25" i="4"/>
  <c r="F25" i="4"/>
  <c r="G25" i="4"/>
  <c r="H25" i="4"/>
  <c r="I25" i="4"/>
  <c r="J25" i="4"/>
  <c r="K25" i="4"/>
  <c r="C26" i="4"/>
  <c r="D26" i="4"/>
  <c r="E26" i="4"/>
  <c r="F26" i="4"/>
  <c r="G26" i="4"/>
  <c r="H26" i="4"/>
  <c r="I26" i="4"/>
  <c r="J26" i="4"/>
  <c r="K26" i="4"/>
  <c r="C27" i="4"/>
  <c r="D27" i="4"/>
  <c r="E27" i="4"/>
  <c r="F27" i="4"/>
  <c r="G27" i="4"/>
  <c r="H27" i="4"/>
  <c r="I27" i="4"/>
  <c r="J27" i="4"/>
  <c r="K27" i="4"/>
  <c r="C28" i="4"/>
  <c r="D28" i="4"/>
  <c r="E28" i="4"/>
  <c r="F28" i="4"/>
  <c r="G28" i="4"/>
  <c r="H28" i="4"/>
  <c r="I28" i="4"/>
  <c r="J28" i="4"/>
  <c r="K28" i="4"/>
  <c r="C29" i="4"/>
  <c r="D29" i="4"/>
  <c r="E29" i="4"/>
  <c r="F29" i="4"/>
  <c r="G29" i="4"/>
  <c r="H29" i="4"/>
  <c r="I29" i="4"/>
  <c r="J29" i="4"/>
  <c r="K29" i="4"/>
  <c r="C30" i="4"/>
  <c r="D30" i="4"/>
  <c r="E30" i="4"/>
  <c r="F30" i="4"/>
  <c r="G30" i="4"/>
  <c r="H30" i="4"/>
  <c r="I30" i="4"/>
  <c r="J30" i="4"/>
  <c r="K30" i="4"/>
  <c r="C31" i="4"/>
  <c r="D31" i="4"/>
  <c r="E31" i="4"/>
  <c r="F31" i="4"/>
  <c r="G31" i="4"/>
  <c r="H31" i="4"/>
  <c r="I31" i="4"/>
  <c r="J31" i="4"/>
  <c r="K31" i="4"/>
  <c r="C32" i="4"/>
  <c r="D32" i="4"/>
  <c r="E32" i="4"/>
  <c r="F32" i="4"/>
  <c r="G32" i="4"/>
  <c r="H32" i="4"/>
  <c r="I32" i="4"/>
  <c r="J32" i="4"/>
  <c r="K32" i="4"/>
  <c r="C33" i="4"/>
  <c r="D33" i="4"/>
  <c r="E33" i="4"/>
  <c r="F33" i="4"/>
  <c r="G33" i="4"/>
  <c r="H33" i="4"/>
  <c r="I33" i="4"/>
  <c r="J33" i="4"/>
  <c r="K33" i="4"/>
  <c r="C34" i="4"/>
  <c r="D34" i="4"/>
  <c r="E34" i="4"/>
  <c r="F34" i="4"/>
  <c r="G34" i="4"/>
  <c r="H34" i="4"/>
  <c r="I34" i="4"/>
  <c r="J34" i="4"/>
  <c r="K34" i="4"/>
  <c r="C35" i="4"/>
  <c r="D35" i="4"/>
  <c r="E35" i="4"/>
  <c r="F35" i="4"/>
  <c r="G35" i="4"/>
  <c r="H35" i="4"/>
  <c r="I35" i="4"/>
  <c r="J35" i="4"/>
  <c r="K35" i="4"/>
  <c r="C36" i="4"/>
  <c r="D36" i="4"/>
  <c r="E36" i="4"/>
  <c r="F36" i="4"/>
  <c r="G36" i="4"/>
  <c r="H36" i="4"/>
  <c r="I36" i="4"/>
  <c r="J36" i="4"/>
  <c r="K36" i="4"/>
  <c r="C37" i="4"/>
  <c r="D37" i="4"/>
  <c r="E37" i="4"/>
  <c r="F37" i="4"/>
  <c r="G37" i="4"/>
  <c r="H37" i="4"/>
  <c r="I37" i="4"/>
  <c r="J37" i="4"/>
  <c r="K37" i="4"/>
  <c r="C38" i="4"/>
  <c r="D38" i="4"/>
  <c r="E38" i="4"/>
  <c r="F38" i="4"/>
  <c r="G38" i="4"/>
  <c r="H38" i="4"/>
  <c r="I38" i="4"/>
  <c r="J38" i="4"/>
  <c r="K38" i="4"/>
  <c r="C39" i="4"/>
  <c r="D39" i="4"/>
  <c r="E39" i="4"/>
  <c r="F39" i="4"/>
  <c r="G39" i="4"/>
  <c r="H39" i="4"/>
  <c r="I39" i="4"/>
  <c r="J39" i="4"/>
  <c r="K39" i="4"/>
  <c r="C40" i="4"/>
  <c r="D40" i="4"/>
  <c r="E40" i="4"/>
  <c r="F40" i="4"/>
  <c r="G40" i="4"/>
  <c r="H40" i="4"/>
  <c r="I40" i="4"/>
  <c r="J40" i="4"/>
  <c r="K40" i="4"/>
  <c r="C41" i="4"/>
  <c r="D41" i="4"/>
  <c r="E41" i="4"/>
  <c r="F41" i="4"/>
  <c r="G41" i="4"/>
  <c r="H41" i="4"/>
  <c r="I41" i="4"/>
  <c r="J41" i="4"/>
  <c r="K41" i="4"/>
  <c r="C42" i="4"/>
  <c r="D42" i="4"/>
  <c r="E42" i="4"/>
  <c r="F42" i="4"/>
  <c r="G42" i="4"/>
  <c r="H42" i="4"/>
  <c r="I42" i="4"/>
  <c r="J42" i="4"/>
  <c r="K42" i="4"/>
  <c r="C43" i="4"/>
  <c r="D43" i="4"/>
  <c r="E43" i="4"/>
  <c r="F43" i="4"/>
  <c r="G43" i="4"/>
  <c r="H43" i="4"/>
  <c r="I43" i="4"/>
  <c r="J43" i="4"/>
  <c r="K43" i="4"/>
  <c r="C44" i="4"/>
  <c r="D44" i="4"/>
  <c r="E44" i="4"/>
  <c r="F44" i="4"/>
  <c r="G44" i="4"/>
  <c r="H44" i="4"/>
  <c r="I44" i="4"/>
  <c r="J44" i="4"/>
  <c r="K44" i="4"/>
  <c r="C45" i="4"/>
  <c r="D45" i="4"/>
  <c r="E45" i="4"/>
  <c r="F45" i="4"/>
  <c r="G45" i="4"/>
  <c r="H45" i="4"/>
  <c r="I45" i="4"/>
  <c r="J45" i="4"/>
  <c r="K45" i="4"/>
  <c r="C46" i="4"/>
  <c r="D46" i="4"/>
  <c r="E46" i="4"/>
  <c r="F46" i="4"/>
  <c r="G46" i="4"/>
  <c r="H46" i="4"/>
  <c r="I46" i="4"/>
  <c r="J46" i="4"/>
  <c r="K46" i="4"/>
  <c r="C47" i="4"/>
  <c r="D47" i="4"/>
  <c r="E47" i="4"/>
  <c r="F47" i="4"/>
  <c r="G47" i="4"/>
  <c r="H47" i="4"/>
  <c r="I47" i="4"/>
  <c r="J47" i="4"/>
  <c r="K47" i="4"/>
  <c r="C48" i="4"/>
  <c r="D48" i="4"/>
  <c r="E48" i="4"/>
  <c r="F48" i="4"/>
  <c r="G48" i="4"/>
  <c r="H48" i="4"/>
  <c r="I48" i="4"/>
  <c r="J48" i="4"/>
  <c r="K48" i="4"/>
  <c r="C49" i="4"/>
  <c r="D49" i="4"/>
  <c r="E49" i="4"/>
  <c r="F49" i="4"/>
  <c r="G49" i="4"/>
  <c r="H49" i="4"/>
  <c r="I49" i="4"/>
  <c r="J49" i="4"/>
  <c r="K49" i="4"/>
  <c r="C50" i="4"/>
  <c r="D50" i="4"/>
  <c r="E50" i="4"/>
  <c r="F50" i="4"/>
  <c r="G50" i="4"/>
  <c r="H50" i="4"/>
  <c r="I50" i="4"/>
  <c r="J50" i="4"/>
  <c r="K50" i="4"/>
  <c r="C51" i="4"/>
  <c r="D51" i="4"/>
  <c r="E51" i="4"/>
  <c r="F51" i="4"/>
  <c r="G51" i="4"/>
  <c r="H51" i="4"/>
  <c r="I51" i="4"/>
  <c r="J51" i="4"/>
  <c r="K51" i="4"/>
  <c r="C52" i="4"/>
  <c r="D52" i="4"/>
  <c r="E52" i="4"/>
  <c r="F52" i="4"/>
  <c r="G52" i="4"/>
  <c r="H52" i="4"/>
  <c r="I52" i="4"/>
  <c r="J52" i="4"/>
  <c r="K52" i="4"/>
  <c r="C53" i="4"/>
  <c r="D53" i="4"/>
  <c r="E53" i="4"/>
  <c r="F53" i="4"/>
  <c r="G53" i="4"/>
  <c r="H53" i="4"/>
  <c r="I53" i="4"/>
  <c r="J53" i="4"/>
  <c r="K53" i="4"/>
  <c r="C54" i="4"/>
  <c r="D54" i="4"/>
  <c r="E54" i="4"/>
  <c r="F54" i="4"/>
  <c r="G54" i="4"/>
  <c r="H54" i="4"/>
  <c r="I54" i="4"/>
  <c r="J54" i="4"/>
  <c r="K54" i="4"/>
  <c r="C55" i="4"/>
  <c r="D55" i="4"/>
  <c r="E55" i="4"/>
  <c r="F55" i="4"/>
  <c r="G55" i="4"/>
  <c r="H55" i="4"/>
  <c r="I55" i="4"/>
  <c r="J55" i="4"/>
  <c r="K55" i="4"/>
  <c r="C56" i="4"/>
  <c r="D56" i="4"/>
  <c r="E56" i="4"/>
  <c r="F56" i="4"/>
  <c r="G56" i="4"/>
  <c r="H56" i="4"/>
  <c r="I56" i="4"/>
  <c r="J56" i="4"/>
  <c r="K56" i="4"/>
  <c r="C57" i="4"/>
  <c r="D57" i="4"/>
  <c r="E57" i="4"/>
  <c r="F57" i="4"/>
  <c r="G57" i="4"/>
  <c r="H57" i="4"/>
  <c r="I57" i="4"/>
  <c r="J57" i="4"/>
  <c r="K57" i="4"/>
  <c r="C58" i="4"/>
  <c r="D58" i="4"/>
  <c r="E58" i="4"/>
  <c r="F58" i="4"/>
  <c r="G58" i="4"/>
  <c r="H58" i="4"/>
  <c r="I58" i="4"/>
  <c r="J58" i="4"/>
  <c r="K58" i="4"/>
  <c r="C59" i="4"/>
  <c r="D59" i="4"/>
  <c r="E59" i="4"/>
  <c r="F59" i="4"/>
  <c r="G59" i="4"/>
  <c r="H59" i="4"/>
  <c r="I59" i="4"/>
  <c r="J59" i="4"/>
  <c r="K59" i="4"/>
  <c r="C60" i="4"/>
  <c r="D60" i="4"/>
  <c r="E60" i="4"/>
  <c r="F60" i="4"/>
  <c r="G60" i="4"/>
  <c r="H60" i="4"/>
  <c r="I60" i="4"/>
  <c r="J60" i="4"/>
  <c r="K60" i="4"/>
  <c r="C61" i="4"/>
  <c r="D61" i="4"/>
  <c r="E61" i="4"/>
  <c r="F61" i="4"/>
  <c r="G61" i="4"/>
  <c r="H61" i="4"/>
  <c r="I61" i="4"/>
  <c r="J61" i="4"/>
  <c r="K61" i="4"/>
  <c r="C62" i="4"/>
  <c r="D62" i="4"/>
  <c r="E62" i="4"/>
  <c r="F62" i="4"/>
  <c r="G62" i="4"/>
  <c r="H62" i="4"/>
  <c r="I62" i="4"/>
  <c r="J62" i="4"/>
  <c r="K62" i="4"/>
  <c r="C63" i="4"/>
  <c r="D63" i="4"/>
  <c r="E63" i="4"/>
  <c r="F63" i="4"/>
  <c r="G63" i="4"/>
  <c r="H63" i="4"/>
  <c r="I63" i="4"/>
  <c r="J63" i="4"/>
  <c r="K63" i="4"/>
  <c r="C64" i="4"/>
  <c r="D64" i="4"/>
  <c r="E64" i="4"/>
  <c r="F64" i="4"/>
  <c r="G64" i="4"/>
  <c r="H64" i="4"/>
  <c r="I64" i="4"/>
  <c r="J64" i="4"/>
  <c r="K64" i="4"/>
  <c r="C65" i="4"/>
  <c r="D65" i="4"/>
  <c r="E65" i="4"/>
  <c r="F65" i="4"/>
  <c r="G65" i="4"/>
  <c r="H65" i="4"/>
  <c r="I65" i="4"/>
  <c r="J65" i="4"/>
  <c r="K65" i="4"/>
  <c r="C66" i="4"/>
  <c r="D66" i="4"/>
  <c r="E66" i="4"/>
  <c r="F66" i="4"/>
  <c r="G66" i="4"/>
  <c r="H66" i="4"/>
  <c r="I66" i="4"/>
  <c r="J66" i="4"/>
  <c r="K66" i="4"/>
  <c r="C67" i="4"/>
  <c r="D67" i="4"/>
  <c r="E67" i="4"/>
  <c r="F67" i="4"/>
  <c r="G67" i="4"/>
  <c r="H67" i="4"/>
  <c r="I67" i="4"/>
  <c r="J67" i="4"/>
  <c r="K67" i="4"/>
  <c r="C68" i="4"/>
  <c r="D68" i="4"/>
  <c r="E68" i="4"/>
  <c r="F68" i="4"/>
  <c r="G68" i="4"/>
  <c r="H68" i="4"/>
  <c r="I68" i="4"/>
  <c r="J68" i="4"/>
  <c r="K68" i="4"/>
  <c r="C69" i="4"/>
  <c r="D69" i="4"/>
  <c r="E69" i="4"/>
  <c r="F69" i="4"/>
  <c r="G69" i="4"/>
  <c r="H69" i="4"/>
  <c r="I69" i="4"/>
  <c r="J69" i="4"/>
  <c r="K69" i="4"/>
  <c r="C70" i="4"/>
  <c r="D70" i="4"/>
  <c r="E70" i="4"/>
  <c r="F70" i="4"/>
  <c r="G70" i="4"/>
  <c r="H70" i="4"/>
  <c r="I70" i="4"/>
  <c r="J70" i="4"/>
  <c r="K70" i="4"/>
  <c r="C71" i="4"/>
  <c r="D71" i="4"/>
  <c r="E71" i="4"/>
  <c r="F71" i="4"/>
  <c r="G71" i="4"/>
  <c r="H71" i="4"/>
  <c r="I71" i="4"/>
  <c r="J71" i="4"/>
  <c r="K71" i="4"/>
  <c r="C72" i="4"/>
  <c r="D72" i="4"/>
  <c r="E72" i="4"/>
  <c r="F72" i="4"/>
  <c r="G72" i="4"/>
  <c r="H72" i="4"/>
  <c r="I72" i="4"/>
  <c r="J72" i="4"/>
  <c r="K72" i="4"/>
  <c r="C73" i="4"/>
  <c r="D73" i="4"/>
  <c r="E73" i="4"/>
  <c r="F73" i="4"/>
  <c r="G73" i="4"/>
  <c r="H73" i="4"/>
  <c r="I73" i="4"/>
  <c r="J73" i="4"/>
  <c r="K73" i="4"/>
  <c r="C74" i="4"/>
  <c r="D74" i="4"/>
  <c r="E74" i="4"/>
  <c r="F74" i="4"/>
  <c r="G74" i="4"/>
  <c r="H74" i="4"/>
  <c r="I74" i="4"/>
  <c r="J74" i="4"/>
  <c r="K74" i="4"/>
  <c r="C75" i="4"/>
  <c r="D75" i="4"/>
  <c r="E75" i="4"/>
  <c r="F75" i="4"/>
  <c r="G75" i="4"/>
  <c r="H75" i="4"/>
  <c r="I75" i="4"/>
  <c r="J75" i="4"/>
  <c r="K75" i="4"/>
  <c r="C76" i="4"/>
  <c r="D76" i="4"/>
  <c r="E76" i="4"/>
  <c r="F76" i="4"/>
  <c r="G76" i="4"/>
  <c r="H76" i="4"/>
  <c r="I76" i="4"/>
  <c r="J76" i="4"/>
  <c r="K76" i="4"/>
  <c r="C77" i="4"/>
  <c r="D77" i="4"/>
  <c r="E77" i="4"/>
  <c r="F77" i="4"/>
  <c r="G77" i="4"/>
  <c r="H77" i="4"/>
  <c r="I77" i="4"/>
  <c r="J77" i="4"/>
  <c r="K77" i="4"/>
  <c r="C78" i="4"/>
  <c r="D78" i="4"/>
  <c r="E78" i="4"/>
  <c r="F78" i="4"/>
  <c r="G78" i="4"/>
  <c r="H78" i="4"/>
  <c r="I78" i="4"/>
  <c r="J78" i="4"/>
  <c r="K78" i="4"/>
  <c r="C79" i="4"/>
  <c r="D79" i="4"/>
  <c r="E79" i="4"/>
  <c r="F79" i="4"/>
  <c r="G79" i="4"/>
  <c r="H79" i="4"/>
  <c r="I79" i="4"/>
  <c r="J79" i="4"/>
  <c r="K79" i="4"/>
  <c r="C80" i="4"/>
  <c r="D80" i="4"/>
  <c r="E80" i="4"/>
  <c r="F80" i="4"/>
  <c r="G80" i="4"/>
  <c r="H80" i="4"/>
  <c r="I80" i="4"/>
  <c r="J80" i="4"/>
  <c r="K80" i="4"/>
  <c r="C81" i="4"/>
  <c r="D81" i="4"/>
  <c r="E81" i="4"/>
  <c r="F81" i="4"/>
  <c r="G81" i="4"/>
  <c r="H81" i="4"/>
  <c r="I81" i="4"/>
  <c r="J81" i="4"/>
  <c r="K81" i="4"/>
  <c r="C82" i="4"/>
  <c r="D82" i="4"/>
  <c r="E82" i="4"/>
  <c r="F82" i="4"/>
  <c r="G82" i="4"/>
  <c r="H82" i="4"/>
  <c r="I82" i="4"/>
  <c r="J82" i="4"/>
  <c r="K82" i="4"/>
  <c r="C83" i="4"/>
  <c r="D83" i="4"/>
  <c r="E83" i="4"/>
  <c r="F83" i="4"/>
  <c r="G83" i="4"/>
  <c r="H83" i="4"/>
  <c r="I83" i="4"/>
  <c r="J83" i="4"/>
  <c r="K83" i="4"/>
  <c r="C84" i="4"/>
  <c r="D84" i="4"/>
  <c r="E84" i="4"/>
  <c r="F84" i="4"/>
  <c r="G84" i="4"/>
  <c r="H84" i="4"/>
  <c r="I84" i="4"/>
  <c r="J84" i="4"/>
  <c r="K84" i="4"/>
  <c r="C85" i="4"/>
  <c r="D85" i="4"/>
  <c r="E85" i="4"/>
  <c r="F85" i="4"/>
  <c r="G85" i="4"/>
  <c r="H85" i="4"/>
  <c r="I85" i="4"/>
  <c r="J85" i="4"/>
  <c r="K85" i="4"/>
  <c r="C86" i="4"/>
  <c r="D86" i="4"/>
  <c r="E86" i="4"/>
  <c r="F86" i="4"/>
  <c r="G86" i="4"/>
  <c r="H86" i="4"/>
  <c r="I86" i="4"/>
  <c r="J86" i="4"/>
  <c r="K86" i="4"/>
  <c r="C87" i="4"/>
  <c r="D87" i="4"/>
  <c r="E87" i="4"/>
  <c r="F87" i="4"/>
  <c r="G87" i="4"/>
  <c r="H87" i="4"/>
  <c r="I87" i="4"/>
  <c r="J87" i="4"/>
  <c r="K87" i="4"/>
  <c r="C88" i="4"/>
  <c r="D88" i="4"/>
  <c r="E88" i="4"/>
  <c r="F88" i="4"/>
  <c r="G88" i="4"/>
  <c r="H88" i="4"/>
  <c r="I88" i="4"/>
  <c r="J88" i="4"/>
  <c r="K88" i="4"/>
  <c r="C89" i="4"/>
  <c r="D89" i="4"/>
  <c r="E89" i="4"/>
  <c r="F89" i="4"/>
  <c r="G89" i="4"/>
  <c r="H89" i="4"/>
  <c r="I89" i="4"/>
  <c r="J89" i="4"/>
  <c r="K89" i="4"/>
  <c r="C90" i="4"/>
  <c r="D90" i="4"/>
  <c r="E90" i="4"/>
  <c r="F90" i="4"/>
  <c r="G90" i="4"/>
  <c r="H90" i="4"/>
  <c r="I90" i="4"/>
  <c r="J90" i="4"/>
  <c r="K90" i="4"/>
  <c r="C91" i="4"/>
  <c r="D91" i="4"/>
  <c r="E91" i="4"/>
  <c r="F91" i="4"/>
  <c r="G91" i="4"/>
  <c r="H91" i="4"/>
  <c r="I91" i="4"/>
  <c r="J91" i="4"/>
  <c r="K91" i="4"/>
  <c r="C92" i="4"/>
  <c r="D92" i="4"/>
  <c r="E92" i="4"/>
  <c r="F92" i="4"/>
  <c r="G92" i="4"/>
  <c r="H92" i="4"/>
  <c r="I92" i="4"/>
  <c r="J92" i="4"/>
  <c r="K92" i="4"/>
  <c r="C93" i="4"/>
  <c r="D93" i="4"/>
  <c r="E93" i="4"/>
  <c r="F93" i="4"/>
  <c r="G93" i="4"/>
  <c r="H93" i="4"/>
  <c r="I93" i="4"/>
  <c r="J93" i="4"/>
  <c r="K93" i="4"/>
  <c r="C94" i="4"/>
  <c r="D94" i="4"/>
  <c r="E94" i="4"/>
  <c r="F94" i="4"/>
  <c r="G94" i="4"/>
  <c r="H94" i="4"/>
  <c r="I94" i="4"/>
  <c r="J94" i="4"/>
  <c r="K94" i="4"/>
  <c r="C95" i="4"/>
  <c r="D95" i="4"/>
  <c r="E95" i="4"/>
  <c r="F95" i="4"/>
  <c r="G95" i="4"/>
  <c r="H95" i="4"/>
  <c r="I95" i="4"/>
  <c r="J95" i="4"/>
  <c r="K95" i="4"/>
  <c r="C96" i="4"/>
  <c r="D96" i="4"/>
  <c r="E96" i="4"/>
  <c r="F96" i="4"/>
  <c r="G96" i="4"/>
  <c r="H96" i="4"/>
  <c r="I96" i="4"/>
  <c r="J96" i="4"/>
  <c r="K96" i="4"/>
  <c r="C97" i="4"/>
  <c r="D97" i="4"/>
  <c r="E97" i="4"/>
  <c r="F97" i="4"/>
  <c r="G97" i="4"/>
  <c r="H97" i="4"/>
  <c r="I97" i="4"/>
  <c r="J97" i="4"/>
  <c r="K97" i="4"/>
  <c r="C98" i="4"/>
  <c r="D98" i="4"/>
  <c r="E98" i="4"/>
  <c r="F98" i="4"/>
  <c r="G98" i="4"/>
  <c r="H98" i="4"/>
  <c r="I98" i="4"/>
  <c r="J98" i="4"/>
  <c r="K98" i="4"/>
  <c r="C99" i="4"/>
  <c r="D99" i="4"/>
  <c r="E99" i="4"/>
  <c r="F99" i="4"/>
  <c r="G99" i="4"/>
  <c r="H99" i="4"/>
  <c r="I99" i="4"/>
  <c r="J99" i="4"/>
  <c r="K99" i="4"/>
  <c r="C100" i="4"/>
  <c r="D100" i="4"/>
  <c r="E100" i="4"/>
  <c r="F100" i="4"/>
  <c r="G100" i="4"/>
  <c r="H100" i="4"/>
  <c r="I100" i="4"/>
  <c r="J100" i="4"/>
  <c r="K100" i="4"/>
  <c r="C101" i="4"/>
  <c r="D101" i="4"/>
  <c r="E101" i="4"/>
  <c r="F101" i="4"/>
  <c r="G101" i="4"/>
  <c r="H101" i="4"/>
  <c r="I101" i="4"/>
  <c r="J101" i="4"/>
  <c r="K101" i="4"/>
  <c r="C102" i="4"/>
  <c r="D102" i="4"/>
  <c r="E102" i="4"/>
  <c r="F102" i="4"/>
  <c r="G102" i="4"/>
  <c r="H102" i="4"/>
  <c r="I102" i="4"/>
  <c r="J102" i="4"/>
  <c r="K102" i="4"/>
  <c r="C103" i="4"/>
  <c r="D103" i="4"/>
  <c r="E103" i="4"/>
  <c r="F103" i="4"/>
  <c r="G103" i="4"/>
  <c r="H103" i="4"/>
  <c r="I103" i="4"/>
  <c r="J103" i="4"/>
  <c r="K103" i="4"/>
  <c r="C104" i="4"/>
  <c r="D104" i="4"/>
  <c r="E104" i="4"/>
  <c r="F104" i="4"/>
  <c r="G104" i="4"/>
  <c r="H104" i="4"/>
  <c r="I104" i="4"/>
  <c r="J104" i="4"/>
  <c r="K104" i="4"/>
  <c r="C105" i="4"/>
  <c r="D105" i="4"/>
  <c r="E105" i="4"/>
  <c r="F105" i="4"/>
  <c r="G105" i="4"/>
  <c r="H105" i="4"/>
  <c r="I105" i="4"/>
  <c r="J105" i="4"/>
  <c r="K105" i="4"/>
  <c r="C106" i="4"/>
  <c r="D106" i="4"/>
  <c r="E106" i="4"/>
  <c r="F106" i="4"/>
  <c r="G106" i="4"/>
  <c r="H106" i="4"/>
  <c r="I106" i="4"/>
  <c r="J106" i="4"/>
  <c r="K106" i="4"/>
  <c r="C107" i="4"/>
  <c r="D107" i="4"/>
  <c r="E107" i="4"/>
  <c r="F107" i="4"/>
  <c r="G107" i="4"/>
  <c r="H107" i="4"/>
  <c r="I107" i="4"/>
  <c r="J107" i="4"/>
  <c r="K107" i="4"/>
  <c r="C108" i="4"/>
  <c r="D108" i="4"/>
  <c r="E108" i="4"/>
  <c r="F108" i="4"/>
  <c r="G108" i="4"/>
  <c r="H108" i="4"/>
  <c r="I108" i="4"/>
  <c r="J108" i="4"/>
  <c r="K108" i="4"/>
  <c r="C109" i="4"/>
  <c r="D109" i="4"/>
  <c r="E109" i="4"/>
  <c r="F109" i="4"/>
  <c r="G109" i="4"/>
  <c r="H109" i="4"/>
  <c r="I109" i="4"/>
  <c r="J109" i="4"/>
  <c r="K109" i="4"/>
  <c r="C110" i="4"/>
  <c r="D110" i="4"/>
  <c r="E110" i="4"/>
  <c r="F110" i="4"/>
  <c r="G110" i="4"/>
  <c r="H110" i="4"/>
  <c r="I110" i="4"/>
  <c r="J110" i="4"/>
  <c r="K110" i="4"/>
  <c r="C111" i="4"/>
  <c r="D111" i="4"/>
  <c r="E111" i="4"/>
  <c r="F111" i="4"/>
  <c r="G111" i="4"/>
  <c r="H111" i="4"/>
  <c r="I111" i="4"/>
  <c r="J111" i="4"/>
  <c r="K111" i="4"/>
  <c r="C112" i="4"/>
  <c r="D112" i="4"/>
  <c r="E112" i="4"/>
  <c r="F112" i="4"/>
  <c r="G112" i="4"/>
  <c r="H112" i="4"/>
  <c r="I112" i="4"/>
  <c r="J112" i="4"/>
  <c r="K112" i="4"/>
  <c r="C113" i="4"/>
  <c r="D113" i="4"/>
  <c r="E113" i="4"/>
  <c r="F113" i="4"/>
  <c r="G113" i="4"/>
  <c r="H113" i="4"/>
  <c r="I113" i="4"/>
  <c r="J113" i="4"/>
  <c r="K113" i="4"/>
  <c r="C114" i="4"/>
  <c r="D114" i="4"/>
  <c r="E114" i="4"/>
  <c r="F114" i="4"/>
  <c r="G114" i="4"/>
  <c r="H114" i="4"/>
  <c r="I114" i="4"/>
  <c r="J114" i="4"/>
  <c r="K114" i="4"/>
  <c r="C115" i="4"/>
  <c r="D115" i="4"/>
  <c r="E115" i="4"/>
  <c r="F115" i="4"/>
  <c r="G115" i="4"/>
  <c r="H115" i="4"/>
  <c r="I115" i="4"/>
  <c r="J115" i="4"/>
  <c r="K115" i="4"/>
  <c r="C116" i="4"/>
  <c r="D116" i="4"/>
  <c r="E116" i="4"/>
  <c r="F116" i="4"/>
  <c r="G116" i="4"/>
  <c r="H116" i="4"/>
  <c r="I116" i="4"/>
  <c r="J116" i="4"/>
  <c r="K116" i="4"/>
  <c r="C117" i="4"/>
  <c r="D117" i="4"/>
  <c r="E117" i="4"/>
  <c r="F117" i="4"/>
  <c r="G117" i="4"/>
  <c r="H117" i="4"/>
  <c r="I117" i="4"/>
  <c r="J117" i="4"/>
  <c r="K117" i="4"/>
  <c r="C118" i="4"/>
  <c r="D118" i="4"/>
  <c r="E118" i="4"/>
  <c r="F118" i="4"/>
  <c r="G118" i="4"/>
  <c r="H118" i="4"/>
  <c r="I118" i="4"/>
  <c r="J118" i="4"/>
  <c r="K118" i="4"/>
  <c r="C119" i="4"/>
  <c r="D119" i="4"/>
  <c r="E119" i="4"/>
  <c r="F119" i="4"/>
  <c r="G119" i="4"/>
  <c r="H119" i="4"/>
  <c r="I119" i="4"/>
  <c r="J119" i="4"/>
  <c r="K119" i="4"/>
  <c r="C120" i="4"/>
  <c r="D120" i="4"/>
  <c r="E120" i="4"/>
  <c r="F120" i="4"/>
  <c r="G120" i="4"/>
  <c r="H120" i="4"/>
  <c r="I120" i="4"/>
  <c r="J120" i="4"/>
  <c r="K120" i="4"/>
  <c r="C121" i="4"/>
  <c r="D121" i="4"/>
  <c r="E121" i="4"/>
  <c r="F121" i="4"/>
  <c r="G121" i="4"/>
  <c r="H121" i="4"/>
  <c r="I121" i="4"/>
  <c r="J121" i="4"/>
  <c r="K121" i="4"/>
  <c r="C122" i="4"/>
  <c r="D122" i="4"/>
  <c r="E122" i="4"/>
  <c r="F122" i="4"/>
  <c r="G122" i="4"/>
  <c r="H122" i="4"/>
  <c r="I122" i="4"/>
  <c r="J122" i="4"/>
  <c r="K122" i="4"/>
  <c r="C123" i="4"/>
  <c r="D123" i="4"/>
  <c r="E123" i="4"/>
  <c r="F123" i="4"/>
  <c r="G123" i="4"/>
  <c r="H123" i="4"/>
  <c r="I123" i="4"/>
  <c r="J123" i="4"/>
  <c r="K123" i="4"/>
  <c r="C124" i="4"/>
  <c r="D124" i="4"/>
  <c r="E124" i="4"/>
  <c r="F124" i="4"/>
  <c r="G124" i="4"/>
  <c r="H124" i="4"/>
  <c r="I124" i="4"/>
  <c r="J124" i="4"/>
  <c r="K124" i="4"/>
  <c r="C125" i="4"/>
  <c r="D125" i="4"/>
  <c r="E125" i="4"/>
  <c r="F125" i="4"/>
  <c r="G125" i="4"/>
  <c r="H125" i="4"/>
  <c r="I125" i="4"/>
  <c r="J125" i="4"/>
  <c r="K125" i="4"/>
  <c r="C126" i="4"/>
  <c r="D126" i="4"/>
  <c r="E126" i="4"/>
  <c r="F126" i="4"/>
  <c r="G126" i="4"/>
  <c r="H126" i="4"/>
  <c r="I126" i="4"/>
  <c r="J126" i="4"/>
  <c r="K126" i="4"/>
  <c r="C127" i="4"/>
  <c r="D127" i="4"/>
  <c r="E127" i="4"/>
  <c r="F127" i="4"/>
  <c r="G127" i="4"/>
  <c r="H127" i="4"/>
  <c r="I127" i="4"/>
  <c r="J127" i="4"/>
  <c r="K127" i="4"/>
  <c r="C128" i="4"/>
  <c r="D128" i="4"/>
  <c r="E128" i="4"/>
  <c r="F128" i="4"/>
  <c r="G128" i="4"/>
  <c r="H128" i="4"/>
  <c r="I128" i="4"/>
  <c r="J128" i="4"/>
  <c r="K128" i="4"/>
  <c r="C129" i="4"/>
  <c r="D129" i="4"/>
  <c r="E129" i="4"/>
  <c r="F129" i="4"/>
  <c r="G129" i="4"/>
  <c r="H129" i="4"/>
  <c r="I129" i="4"/>
  <c r="J129" i="4"/>
  <c r="K129" i="4"/>
  <c r="C130" i="4"/>
  <c r="D130" i="4"/>
  <c r="E130" i="4"/>
  <c r="F130" i="4"/>
  <c r="G130" i="4"/>
  <c r="H130" i="4"/>
  <c r="I130" i="4"/>
  <c r="J130" i="4"/>
  <c r="K130" i="4"/>
  <c r="C131" i="4"/>
  <c r="D131" i="4"/>
  <c r="E131" i="4"/>
  <c r="F131" i="4"/>
  <c r="G131" i="4"/>
  <c r="H131" i="4"/>
  <c r="I131" i="4"/>
  <c r="J131" i="4"/>
  <c r="K131" i="4"/>
  <c r="C132" i="4"/>
  <c r="D132" i="4"/>
  <c r="E132" i="4"/>
  <c r="F132" i="4"/>
  <c r="G132" i="4"/>
  <c r="H132" i="4"/>
  <c r="I132" i="4"/>
  <c r="J132" i="4"/>
  <c r="K132" i="4"/>
  <c r="C133" i="4"/>
  <c r="D133" i="4"/>
  <c r="E133" i="4"/>
  <c r="F133" i="4"/>
  <c r="G133" i="4"/>
  <c r="H133" i="4"/>
  <c r="I133" i="4"/>
  <c r="J133" i="4"/>
  <c r="K133" i="4"/>
  <c r="C134" i="4"/>
  <c r="D134" i="4"/>
  <c r="E134" i="4"/>
  <c r="F134" i="4"/>
  <c r="G134" i="4"/>
  <c r="H134" i="4"/>
  <c r="I134" i="4"/>
  <c r="J134" i="4"/>
  <c r="K134" i="4"/>
  <c r="C135" i="4"/>
  <c r="D135" i="4"/>
  <c r="E135" i="4"/>
  <c r="F135" i="4"/>
  <c r="G135" i="4"/>
  <c r="H135" i="4"/>
  <c r="I135" i="4"/>
  <c r="J135" i="4"/>
  <c r="K135" i="4"/>
  <c r="C136" i="4"/>
  <c r="D136" i="4"/>
  <c r="E136" i="4"/>
  <c r="F136" i="4"/>
  <c r="G136" i="4"/>
  <c r="H136" i="4"/>
  <c r="I136" i="4"/>
  <c r="J136" i="4"/>
  <c r="K136" i="4"/>
  <c r="C137" i="4"/>
  <c r="D137" i="4"/>
  <c r="E137" i="4"/>
  <c r="F137" i="4"/>
  <c r="G137" i="4"/>
  <c r="H137" i="4"/>
  <c r="I137" i="4"/>
  <c r="J137" i="4"/>
  <c r="K137" i="4"/>
  <c r="C138" i="4"/>
  <c r="D138" i="4"/>
  <c r="E138" i="4"/>
  <c r="F138" i="4"/>
  <c r="G138" i="4"/>
  <c r="H138" i="4"/>
  <c r="I138" i="4"/>
  <c r="J138" i="4"/>
  <c r="K138" i="4"/>
  <c r="C139" i="4"/>
  <c r="D139" i="4"/>
  <c r="E139" i="4"/>
  <c r="F139" i="4"/>
  <c r="G139" i="4"/>
  <c r="H139" i="4"/>
  <c r="I139" i="4"/>
  <c r="J139" i="4"/>
  <c r="K139" i="4"/>
  <c r="C140" i="4"/>
  <c r="D140" i="4"/>
  <c r="E140" i="4"/>
  <c r="F140" i="4"/>
  <c r="G140" i="4"/>
  <c r="H140" i="4"/>
  <c r="I140" i="4"/>
  <c r="J140" i="4"/>
  <c r="K140" i="4"/>
  <c r="C141" i="4"/>
  <c r="D141" i="4"/>
  <c r="E141" i="4"/>
  <c r="F141" i="4"/>
  <c r="G141" i="4"/>
  <c r="H141" i="4"/>
  <c r="I141" i="4"/>
  <c r="J141" i="4"/>
  <c r="K141" i="4"/>
  <c r="D147" i="4"/>
  <c r="F147" i="4"/>
  <c r="C147" i="4"/>
  <c r="E147" i="4"/>
  <c r="G147" i="4"/>
  <c r="H147" i="4"/>
  <c r="I147" i="4"/>
  <c r="J147" i="4"/>
  <c r="K147" i="4"/>
  <c r="C150" i="4"/>
  <c r="D150" i="4"/>
  <c r="E150" i="4"/>
  <c r="F150" i="4"/>
  <c r="G150" i="4"/>
  <c r="H150" i="4"/>
  <c r="I150" i="4"/>
  <c r="J150" i="4"/>
  <c r="K150" i="4"/>
  <c r="D153" i="4"/>
  <c r="F153" i="4"/>
  <c r="G153" i="4"/>
  <c r="H153" i="4"/>
  <c r="I153" i="4"/>
  <c r="J153" i="4"/>
  <c r="K153" i="4"/>
  <c r="C153" i="4"/>
  <c r="E153" i="4"/>
  <c r="L153" i="4" s="1"/>
  <c r="C155" i="4"/>
  <c r="D155" i="4"/>
  <c r="E155" i="4"/>
  <c r="F155" i="4"/>
  <c r="G155" i="4"/>
  <c r="H155" i="4"/>
  <c r="I155" i="4"/>
  <c r="J155" i="4"/>
  <c r="K155" i="4"/>
  <c r="C159" i="4"/>
  <c r="D159" i="4"/>
  <c r="E159" i="4"/>
  <c r="F159" i="4"/>
  <c r="G159" i="4"/>
  <c r="H159" i="4"/>
  <c r="I159" i="4"/>
  <c r="J159" i="4"/>
  <c r="K159" i="4"/>
  <c r="D163" i="4"/>
  <c r="E163" i="4"/>
  <c r="F163" i="4"/>
  <c r="H163" i="4"/>
  <c r="I163" i="4"/>
  <c r="J163" i="4"/>
  <c r="K163" i="4"/>
  <c r="C163" i="4"/>
  <c r="G163" i="4"/>
  <c r="D142" i="4"/>
  <c r="E142" i="4"/>
  <c r="F142" i="4"/>
  <c r="G142" i="4"/>
  <c r="H142" i="4"/>
  <c r="I142" i="4"/>
  <c r="J142" i="4"/>
  <c r="K142" i="4"/>
  <c r="C142" i="4"/>
  <c r="C144" i="4"/>
  <c r="D144" i="4"/>
  <c r="E144" i="4"/>
  <c r="F144" i="4"/>
  <c r="G144" i="4"/>
  <c r="H144" i="4"/>
  <c r="I144" i="4"/>
  <c r="J144" i="4"/>
  <c r="K144" i="4"/>
  <c r="E146" i="4"/>
  <c r="G146" i="4"/>
  <c r="H146" i="4"/>
  <c r="I146" i="4"/>
  <c r="J146" i="4"/>
  <c r="K146" i="4"/>
  <c r="C146" i="4"/>
  <c r="D146" i="4"/>
  <c r="F146" i="4"/>
  <c r="D148" i="4"/>
  <c r="F148" i="4"/>
  <c r="H148" i="4"/>
  <c r="I148" i="4"/>
  <c r="C148" i="4"/>
  <c r="E148" i="4"/>
  <c r="G148" i="4"/>
  <c r="J148" i="4"/>
  <c r="K148" i="4"/>
  <c r="C149" i="4"/>
  <c r="D149" i="4"/>
  <c r="E149" i="4"/>
  <c r="F149" i="4"/>
  <c r="G149" i="4"/>
  <c r="H149" i="4"/>
  <c r="I149" i="4"/>
  <c r="J149" i="4"/>
  <c r="K149" i="4"/>
  <c r="C151" i="4"/>
  <c r="D151" i="4"/>
  <c r="E151" i="4"/>
  <c r="F151" i="4"/>
  <c r="G151" i="4"/>
  <c r="H151" i="4"/>
  <c r="I151" i="4"/>
  <c r="J151" i="4"/>
  <c r="K151" i="4"/>
  <c r="E154" i="4"/>
  <c r="C154" i="4"/>
  <c r="D154" i="4"/>
  <c r="F154" i="4"/>
  <c r="G154" i="4"/>
  <c r="H154" i="4"/>
  <c r="I154" i="4"/>
  <c r="J154" i="4"/>
  <c r="K154" i="4"/>
  <c r="D156" i="4"/>
  <c r="G156" i="4"/>
  <c r="I156" i="4"/>
  <c r="J156" i="4"/>
  <c r="K156" i="4"/>
  <c r="C156" i="4"/>
  <c r="E156" i="4"/>
  <c r="L156" i="4" s="1"/>
  <c r="F156" i="4"/>
  <c r="H156" i="4"/>
  <c r="C158" i="4"/>
  <c r="D158" i="4"/>
  <c r="E158" i="4"/>
  <c r="F158" i="4"/>
  <c r="G158" i="4"/>
  <c r="H158" i="4"/>
  <c r="I158" i="4"/>
  <c r="J158" i="4"/>
  <c r="K158" i="4"/>
  <c r="C161" i="4"/>
  <c r="D161" i="4"/>
  <c r="E161" i="4"/>
  <c r="F161" i="4"/>
  <c r="G161" i="4"/>
  <c r="H161" i="4"/>
  <c r="I161" i="4"/>
  <c r="J161" i="4"/>
  <c r="K161" i="4"/>
  <c r="D143" i="4"/>
  <c r="F143" i="4"/>
  <c r="I143" i="4"/>
  <c r="K143" i="4"/>
  <c r="C143" i="4"/>
  <c r="E143" i="4"/>
  <c r="L143" i="4" s="1"/>
  <c r="G143" i="4"/>
  <c r="H143" i="4"/>
  <c r="J143" i="4"/>
  <c r="C145" i="4"/>
  <c r="D145" i="4"/>
  <c r="E145" i="4"/>
  <c r="F145" i="4"/>
  <c r="G145" i="4"/>
  <c r="H145" i="4"/>
  <c r="I145" i="4"/>
  <c r="J145" i="4"/>
  <c r="K145" i="4"/>
  <c r="C152" i="4"/>
  <c r="D152" i="4"/>
  <c r="E152" i="4"/>
  <c r="F152" i="4"/>
  <c r="G152" i="4"/>
  <c r="H152" i="4"/>
  <c r="I152" i="4"/>
  <c r="J152" i="4"/>
  <c r="K152" i="4"/>
  <c r="C157" i="4"/>
  <c r="D157" i="4"/>
  <c r="E157" i="4"/>
  <c r="F157" i="4"/>
  <c r="G157" i="4"/>
  <c r="H157" i="4"/>
  <c r="I157" i="4"/>
  <c r="J157" i="4"/>
  <c r="K157" i="4"/>
  <c r="E160" i="4"/>
  <c r="G160" i="4"/>
  <c r="H160" i="4"/>
  <c r="I160" i="4"/>
  <c r="K160" i="4"/>
  <c r="C160" i="4"/>
  <c r="D160" i="4"/>
  <c r="F160" i="4"/>
  <c r="J160" i="4"/>
  <c r="D162" i="4"/>
  <c r="E162" i="4"/>
  <c r="F162" i="4"/>
  <c r="G162" i="4"/>
  <c r="H162" i="4"/>
  <c r="I162" i="4"/>
  <c r="J162" i="4"/>
  <c r="K162" i="4"/>
  <c r="C162" i="4"/>
  <c r="D164" i="4"/>
  <c r="F164" i="4"/>
  <c r="H164" i="4"/>
  <c r="I164" i="4"/>
  <c r="K164" i="4"/>
  <c r="C164" i="4"/>
  <c r="E164" i="4"/>
  <c r="L164" i="4" s="1"/>
  <c r="G164" i="4"/>
  <c r="J164" i="4"/>
  <c r="V148" i="6"/>
  <c r="V149" i="6"/>
  <c r="V153" i="6"/>
  <c r="V154" i="6"/>
  <c r="V155" i="6"/>
  <c r="V157" i="6"/>
  <c r="V158" i="6"/>
  <c r="V159" i="6"/>
  <c r="V160" i="6"/>
  <c r="V161" i="6"/>
  <c r="V163" i="6"/>
  <c r="V164" i="6"/>
  <c r="V19" i="6"/>
  <c r="V38" i="6"/>
  <c r="V150" i="6"/>
  <c r="V151" i="6"/>
  <c r="V152" i="6"/>
  <c r="V156" i="6"/>
  <c r="V41" i="6"/>
  <c r="V51" i="6"/>
  <c r="V54" i="6"/>
  <c r="V55" i="6"/>
  <c r="V56" i="6"/>
  <c r="V61" i="6"/>
  <c r="V65" i="6"/>
  <c r="V66" i="6"/>
  <c r="V67" i="6"/>
  <c r="V68" i="6"/>
  <c r="V72" i="6"/>
  <c r="V73" i="6"/>
  <c r="V75" i="6"/>
  <c r="V76" i="6"/>
  <c r="V77" i="6"/>
  <c r="V78" i="6"/>
  <c r="V80" i="6"/>
  <c r="V81" i="6"/>
  <c r="V82" i="6"/>
  <c r="V83" i="6"/>
  <c r="V84" i="6"/>
  <c r="V85" i="6"/>
  <c r="V86" i="6"/>
  <c r="V89" i="6"/>
  <c r="V90" i="6"/>
  <c r="V91" i="6"/>
  <c r="V92" i="6"/>
  <c r="V93" i="6"/>
  <c r="V94" i="6"/>
  <c r="V95" i="6"/>
  <c r="V96" i="6"/>
  <c r="V97" i="6"/>
  <c r="V98" i="6"/>
  <c r="V99" i="6"/>
  <c r="V100" i="6"/>
  <c r="V102" i="6"/>
  <c r="V103" i="6"/>
  <c r="V104" i="6"/>
  <c r="V105" i="6"/>
  <c r="V106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B8" i="7"/>
  <c r="P56" i="6"/>
  <c r="P61" i="6"/>
  <c r="P65" i="6"/>
  <c r="P66" i="6"/>
  <c r="P82" i="6"/>
  <c r="P83" i="6"/>
  <c r="P84" i="6"/>
  <c r="P85" i="6"/>
  <c r="P95" i="6"/>
  <c r="P86" i="6"/>
  <c r="P89" i="6"/>
  <c r="P81" i="6"/>
  <c r="P90" i="6"/>
  <c r="P91" i="6"/>
  <c r="P92" i="6"/>
  <c r="P93" i="6"/>
  <c r="P94" i="6"/>
  <c r="P67" i="6"/>
  <c r="P68" i="6"/>
  <c r="P72" i="6"/>
  <c r="P73" i="6"/>
  <c r="P75" i="6"/>
  <c r="P76" i="6"/>
  <c r="P77" i="6"/>
  <c r="P78" i="6"/>
  <c r="P80" i="6"/>
  <c r="P104" i="6"/>
  <c r="P103" i="6"/>
  <c r="P102" i="6"/>
  <c r="P100" i="6"/>
  <c r="P99" i="6"/>
  <c r="P98" i="6"/>
  <c r="P97" i="6"/>
  <c r="P96" i="6"/>
  <c r="P55" i="6"/>
  <c r="P54" i="6"/>
  <c r="P51" i="6"/>
  <c r="P38" i="6"/>
  <c r="P19" i="6"/>
  <c r="L87" i="4" l="1"/>
  <c r="L107" i="4"/>
  <c r="L109" i="4"/>
  <c r="L133" i="4"/>
  <c r="J10" i="9"/>
  <c r="B22" i="9"/>
  <c r="B23" i="9" s="1"/>
  <c r="B25" i="9" s="1"/>
  <c r="B10" i="9"/>
  <c r="B24" i="9"/>
  <c r="Q151" i="6"/>
  <c r="Q159" i="6"/>
  <c r="Q149" i="6"/>
  <c r="Q41" i="6"/>
  <c r="Q105" i="6"/>
  <c r="Q106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L5" i="4"/>
  <c r="P25" i="3"/>
  <c r="L6" i="4"/>
  <c r="P26" i="3"/>
  <c r="L7" i="4"/>
  <c r="P27" i="3"/>
  <c r="L8" i="4"/>
  <c r="P28" i="3"/>
  <c r="L9" i="4"/>
  <c r="P29" i="3"/>
  <c r="AD148" i="6"/>
  <c r="W148" i="6" s="1"/>
  <c r="AA148" i="6"/>
  <c r="AA149" i="6"/>
  <c r="AD149" i="6"/>
  <c r="W149" i="6" s="1"/>
  <c r="AD153" i="6"/>
  <c r="W153" i="6" s="1"/>
  <c r="AA153" i="6"/>
  <c r="AD154" i="6"/>
  <c r="W154" i="6" s="1"/>
  <c r="AA154" i="6"/>
  <c r="AD155" i="6"/>
  <c r="W155" i="6" s="1"/>
  <c r="AA155" i="6"/>
  <c r="AD157" i="6"/>
  <c r="W157" i="6" s="1"/>
  <c r="AA157" i="6"/>
  <c r="AD158" i="6"/>
  <c r="W158" i="6" s="1"/>
  <c r="AA158" i="6"/>
  <c r="AD159" i="6"/>
  <c r="W159" i="6" s="1"/>
  <c r="AA159" i="6"/>
  <c r="AD160" i="6"/>
  <c r="W160" i="6" s="1"/>
  <c r="AA160" i="6"/>
  <c r="AA161" i="6"/>
  <c r="AD161" i="6"/>
  <c r="W161" i="6" s="1"/>
  <c r="AA163" i="6"/>
  <c r="AD163" i="6"/>
  <c r="W163" i="6" s="1"/>
  <c r="AD164" i="6"/>
  <c r="W164" i="6" s="1"/>
  <c r="AA164" i="6"/>
  <c r="AD19" i="6"/>
  <c r="W19" i="6" s="1"/>
  <c r="AA19" i="6"/>
  <c r="AD38" i="6"/>
  <c r="W38" i="6" s="1"/>
  <c r="AA38" i="6"/>
  <c r="AA150" i="6"/>
  <c r="AD150" i="6"/>
  <c r="W150" i="6" s="1"/>
  <c r="AD151" i="6"/>
  <c r="W151" i="6" s="1"/>
  <c r="AA151" i="6"/>
  <c r="AD152" i="6"/>
  <c r="W152" i="6" s="1"/>
  <c r="AA152" i="6"/>
  <c r="AA156" i="6"/>
  <c r="AD156" i="6"/>
  <c r="W156" i="6" s="1"/>
  <c r="AD41" i="6"/>
  <c r="W41" i="6" s="1"/>
  <c r="AA41" i="6"/>
  <c r="AD51" i="6"/>
  <c r="W51" i="6" s="1"/>
  <c r="AA51" i="6"/>
  <c r="AD54" i="6"/>
  <c r="W54" i="6" s="1"/>
  <c r="AA54" i="6"/>
  <c r="AD55" i="6"/>
  <c r="W55" i="6" s="1"/>
  <c r="AA55" i="6"/>
  <c r="AD56" i="6"/>
  <c r="W56" i="6" s="1"/>
  <c r="AA56" i="6"/>
  <c r="AD61" i="6"/>
  <c r="W61" i="6" s="1"/>
  <c r="AA61" i="6"/>
  <c r="AD65" i="6"/>
  <c r="W65" i="6" s="1"/>
  <c r="AA65" i="6"/>
  <c r="AD66" i="6"/>
  <c r="W66" i="6" s="1"/>
  <c r="AA66" i="6"/>
  <c r="AD67" i="6"/>
  <c r="W67" i="6" s="1"/>
  <c r="AA67" i="6"/>
  <c r="AD68" i="6"/>
  <c r="W68" i="6" s="1"/>
  <c r="AA68" i="6"/>
  <c r="AD72" i="6"/>
  <c r="W72" i="6" s="1"/>
  <c r="AA72" i="6"/>
  <c r="AD73" i="6"/>
  <c r="W73" i="6" s="1"/>
  <c r="AA73" i="6"/>
  <c r="AD75" i="6"/>
  <c r="W75" i="6" s="1"/>
  <c r="AA75" i="6"/>
  <c r="AD76" i="6"/>
  <c r="W76" i="6" s="1"/>
  <c r="AA76" i="6"/>
  <c r="AD77" i="6"/>
  <c r="W77" i="6" s="1"/>
  <c r="AA77" i="6"/>
  <c r="AD78" i="6"/>
  <c r="W78" i="6" s="1"/>
  <c r="AA78" i="6"/>
  <c r="AD80" i="6"/>
  <c r="W80" i="6" s="1"/>
  <c r="AA80" i="6"/>
  <c r="AD81" i="6"/>
  <c r="W81" i="6" s="1"/>
  <c r="AA81" i="6"/>
  <c r="AD82" i="6"/>
  <c r="W82" i="6" s="1"/>
  <c r="AA82" i="6"/>
  <c r="AD83" i="6"/>
  <c r="W83" i="6" s="1"/>
  <c r="AA83" i="6"/>
  <c r="AD84" i="6"/>
  <c r="W84" i="6" s="1"/>
  <c r="AA84" i="6"/>
  <c r="AD85" i="6"/>
  <c r="W85" i="6" s="1"/>
  <c r="AA85" i="6"/>
  <c r="AD86" i="6"/>
  <c r="W86" i="6" s="1"/>
  <c r="AA86" i="6"/>
  <c r="AD89" i="6"/>
  <c r="W89" i="6" s="1"/>
  <c r="AA89" i="6"/>
  <c r="AD90" i="6"/>
  <c r="W90" i="6" s="1"/>
  <c r="AA90" i="6"/>
  <c r="AD91" i="6"/>
  <c r="W91" i="6" s="1"/>
  <c r="AA91" i="6"/>
  <c r="AD92" i="6"/>
  <c r="W92" i="6" s="1"/>
  <c r="AA92" i="6"/>
  <c r="AD93" i="6"/>
  <c r="W93" i="6" s="1"/>
  <c r="AA93" i="6"/>
  <c r="AD94" i="6"/>
  <c r="W94" i="6" s="1"/>
  <c r="AA94" i="6"/>
  <c r="AD95" i="6"/>
  <c r="W95" i="6" s="1"/>
  <c r="AA95" i="6"/>
  <c r="AD96" i="6"/>
  <c r="W96" i="6" s="1"/>
  <c r="AA96" i="6"/>
  <c r="AD97" i="6"/>
  <c r="W97" i="6" s="1"/>
  <c r="AA97" i="6"/>
  <c r="AD98" i="6"/>
  <c r="W98" i="6" s="1"/>
  <c r="AA98" i="6"/>
  <c r="AD99" i="6"/>
  <c r="W99" i="6" s="1"/>
  <c r="AA99" i="6"/>
  <c r="AD100" i="6"/>
  <c r="W100" i="6" s="1"/>
  <c r="AA100" i="6"/>
  <c r="AD102" i="6"/>
  <c r="W102" i="6" s="1"/>
  <c r="AA102" i="6"/>
  <c r="AD103" i="6"/>
  <c r="W103" i="6" s="1"/>
  <c r="AA103" i="6"/>
  <c r="AD104" i="6"/>
  <c r="W104" i="6" s="1"/>
  <c r="AA104" i="6"/>
  <c r="AD105" i="6"/>
  <c r="W105" i="6" s="1"/>
  <c r="AA105" i="6"/>
  <c r="AD106" i="6"/>
  <c r="W106" i="6" s="1"/>
  <c r="AA106" i="6"/>
  <c r="AA108" i="6"/>
  <c r="AD108" i="6"/>
  <c r="W108" i="6" s="1"/>
  <c r="AD109" i="6"/>
  <c r="W109" i="6" s="1"/>
  <c r="AA109" i="6"/>
  <c r="AD110" i="6"/>
  <c r="W110" i="6" s="1"/>
  <c r="AA110" i="6"/>
  <c r="AD111" i="6"/>
  <c r="W111" i="6" s="1"/>
  <c r="AA111" i="6"/>
  <c r="AD112" i="6"/>
  <c r="W112" i="6" s="1"/>
  <c r="AA112" i="6"/>
  <c r="AD113" i="6"/>
  <c r="W113" i="6" s="1"/>
  <c r="AA113" i="6"/>
  <c r="AD114" i="6"/>
  <c r="W114" i="6" s="1"/>
  <c r="AA114" i="6"/>
  <c r="AD115" i="6"/>
  <c r="W115" i="6" s="1"/>
  <c r="AA115" i="6"/>
  <c r="AD116" i="6"/>
  <c r="W116" i="6" s="1"/>
  <c r="AA116" i="6"/>
  <c r="AD117" i="6"/>
  <c r="W117" i="6" s="1"/>
  <c r="AA117" i="6"/>
  <c r="AD118" i="6"/>
  <c r="W118" i="6" s="1"/>
  <c r="AA118" i="6"/>
  <c r="AD119" i="6"/>
  <c r="W119" i="6" s="1"/>
  <c r="AA119" i="6"/>
  <c r="AD120" i="6"/>
  <c r="W120" i="6" s="1"/>
  <c r="AA120" i="6"/>
  <c r="AD121" i="6"/>
  <c r="W121" i="6" s="1"/>
  <c r="AA121" i="6"/>
  <c r="AD122" i="6"/>
  <c r="W122" i="6" s="1"/>
  <c r="AA122" i="6"/>
  <c r="AD123" i="6"/>
  <c r="W123" i="6" s="1"/>
  <c r="AA123" i="6"/>
  <c r="AD124" i="6"/>
  <c r="W124" i="6" s="1"/>
  <c r="AA124" i="6"/>
  <c r="AD125" i="6"/>
  <c r="W125" i="6" s="1"/>
  <c r="AA125" i="6"/>
  <c r="AD127" i="6"/>
  <c r="W127" i="6" s="1"/>
  <c r="AA127" i="6"/>
  <c r="AD128" i="6"/>
  <c r="W128" i="6" s="1"/>
  <c r="AA128" i="6"/>
  <c r="AD129" i="6"/>
  <c r="W129" i="6" s="1"/>
  <c r="AA129" i="6"/>
  <c r="AD130" i="6"/>
  <c r="W130" i="6" s="1"/>
  <c r="AA130" i="6"/>
  <c r="AD131" i="6"/>
  <c r="W131" i="6" s="1"/>
  <c r="AA131" i="6"/>
  <c r="AD132" i="6"/>
  <c r="W132" i="6" s="1"/>
  <c r="AA132" i="6"/>
  <c r="AD133" i="6"/>
  <c r="W133" i="6" s="1"/>
  <c r="AA133" i="6"/>
  <c r="AD134" i="6"/>
  <c r="W134" i="6" s="1"/>
  <c r="AA134" i="6"/>
  <c r="AD135" i="6"/>
  <c r="W135" i="6" s="1"/>
  <c r="AA135" i="6"/>
  <c r="AD136" i="6"/>
  <c r="W136" i="6" s="1"/>
  <c r="AA136" i="6"/>
  <c r="AD137" i="6"/>
  <c r="W137" i="6" s="1"/>
  <c r="AA137" i="6"/>
  <c r="AD138" i="6"/>
  <c r="W138" i="6" s="1"/>
  <c r="AA138" i="6"/>
  <c r="AD139" i="6"/>
  <c r="W139" i="6" s="1"/>
  <c r="AA139" i="6"/>
  <c r="AD140" i="6"/>
  <c r="W140" i="6" s="1"/>
  <c r="AA140" i="6"/>
  <c r="AD141" i="6"/>
  <c r="W141" i="6" s="1"/>
  <c r="AA141" i="6"/>
  <c r="AD142" i="6"/>
  <c r="W142" i="6" s="1"/>
  <c r="AA142" i="6"/>
  <c r="AD143" i="6"/>
  <c r="W143" i="6" s="1"/>
  <c r="AA143" i="6"/>
  <c r="AD144" i="6"/>
  <c r="W144" i="6" s="1"/>
  <c r="AA144" i="6"/>
  <c r="AD145" i="6"/>
  <c r="W145" i="6" s="1"/>
  <c r="AA145" i="6"/>
  <c r="AD146" i="6"/>
  <c r="W146" i="6" s="1"/>
  <c r="AA146" i="6"/>
  <c r="AD147" i="6"/>
  <c r="W147" i="6" s="1"/>
  <c r="AA147" i="6"/>
  <c r="Q56" i="6"/>
  <c r="Q61" i="6"/>
  <c r="Q65" i="6"/>
  <c r="Q66" i="6"/>
  <c r="Q82" i="6"/>
  <c r="Q83" i="6"/>
  <c r="Q84" i="6"/>
  <c r="Q85" i="6"/>
  <c r="Q95" i="6"/>
  <c r="Q86" i="6"/>
  <c r="Q89" i="6"/>
  <c r="Q81" i="6"/>
  <c r="Q90" i="6"/>
  <c r="Q91" i="6"/>
  <c r="Q92" i="6"/>
  <c r="Q93" i="6"/>
  <c r="Q94" i="6"/>
  <c r="Q67" i="6"/>
  <c r="Q68" i="6"/>
  <c r="Q72" i="6"/>
  <c r="Q73" i="6"/>
  <c r="Q75" i="6"/>
  <c r="Q76" i="6"/>
  <c r="Q77" i="6"/>
  <c r="Q78" i="6"/>
  <c r="Q80" i="6"/>
  <c r="Q104" i="6"/>
  <c r="Q103" i="6"/>
  <c r="Q102" i="6"/>
  <c r="Q100" i="6"/>
  <c r="Q99" i="6"/>
  <c r="Q98" i="6"/>
  <c r="Q97" i="6"/>
  <c r="Q96" i="6"/>
  <c r="Q55" i="6"/>
  <c r="Q54" i="6"/>
  <c r="Q51" i="6"/>
  <c r="Q38" i="6"/>
  <c r="Q19" i="6"/>
  <c r="M8" i="7"/>
  <c r="N8" i="7" s="1"/>
  <c r="M5" i="7"/>
  <c r="N5" i="7" s="1"/>
  <c r="L11" i="4"/>
  <c r="L12" i="4"/>
  <c r="L14" i="4"/>
  <c r="L16" i="4"/>
  <c r="L19" i="4"/>
  <c r="L20" i="4"/>
  <c r="L21" i="4"/>
  <c r="L22" i="4"/>
  <c r="L31" i="4"/>
  <c r="L33" i="4"/>
  <c r="L37" i="4"/>
  <c r="L40" i="4"/>
  <c r="L57" i="4"/>
  <c r="L61" i="4"/>
  <c r="L64" i="4"/>
  <c r="L71" i="4"/>
  <c r="L75" i="4"/>
  <c r="L79" i="4"/>
  <c r="L82" i="4"/>
  <c r="L86" i="4"/>
  <c r="L102" i="4"/>
  <c r="L103" i="4"/>
  <c r="L104" i="4"/>
  <c r="L106" i="4"/>
  <c r="L113" i="4"/>
  <c r="L114" i="4"/>
  <c r="L115" i="4"/>
  <c r="L116" i="4"/>
  <c r="L118" i="4"/>
  <c r="L123" i="4"/>
  <c r="L124" i="4"/>
  <c r="L125" i="4"/>
  <c r="L128" i="4"/>
  <c r="L132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60" i="4"/>
  <c r="L65" i="4"/>
  <c r="L69" i="4"/>
  <c r="L74" i="4"/>
  <c r="L76" i="4"/>
  <c r="L77" i="4"/>
  <c r="L78" i="4"/>
  <c r="L85" i="4"/>
  <c r="L100" i="4"/>
  <c r="L112" i="4"/>
  <c r="L117" i="4"/>
  <c r="L129" i="4"/>
  <c r="L88" i="4"/>
  <c r="L89" i="4"/>
  <c r="L90" i="4"/>
  <c r="L91" i="4"/>
  <c r="L92" i="4"/>
  <c r="L93" i="4"/>
  <c r="L94" i="4"/>
  <c r="L95" i="4"/>
  <c r="L96" i="4"/>
  <c r="L97" i="4"/>
  <c r="L98" i="4"/>
  <c r="L99" i="4"/>
  <c r="L119" i="4"/>
  <c r="L126" i="4"/>
  <c r="L131" i="4"/>
  <c r="L134" i="4"/>
  <c r="L135" i="4"/>
  <c r="L136" i="4"/>
  <c r="L137" i="4"/>
  <c r="L138" i="4"/>
  <c r="L139" i="4"/>
  <c r="L140" i="4"/>
  <c r="L141" i="4"/>
  <c r="L147" i="4"/>
  <c r="L150" i="4"/>
  <c r="L155" i="4"/>
  <c r="L159" i="4"/>
  <c r="L163" i="4"/>
  <c r="L142" i="4"/>
  <c r="L144" i="4"/>
  <c r="L146" i="4"/>
  <c r="L148" i="4"/>
  <c r="L149" i="4"/>
  <c r="L151" i="4"/>
  <c r="L154" i="4"/>
  <c r="L158" i="4"/>
  <c r="L161" i="4"/>
  <c r="L145" i="4"/>
  <c r="L152" i="4"/>
  <c r="L157" i="4"/>
  <c r="L160" i="4"/>
  <c r="L162" i="4"/>
  <c r="L15" i="4"/>
  <c r="L17" i="4"/>
  <c r="L18" i="4"/>
  <c r="L23" i="4"/>
  <c r="L24" i="4"/>
  <c r="L26" i="4"/>
  <c r="L30" i="4"/>
  <c r="L34" i="4"/>
  <c r="L36" i="4"/>
  <c r="L38" i="4"/>
  <c r="L58" i="4"/>
  <c r="L59" i="4"/>
  <c r="L62" i="4"/>
  <c r="L63" i="4"/>
  <c r="L66" i="4"/>
  <c r="L68" i="4"/>
  <c r="L72" i="4"/>
  <c r="L80" i="4"/>
  <c r="L84" i="4"/>
  <c r="L101" i="4"/>
  <c r="L105" i="4"/>
  <c r="L108" i="4"/>
  <c r="L122" i="4"/>
  <c r="L10" i="4"/>
  <c r="L13" i="4"/>
  <c r="L25" i="4"/>
  <c r="L27" i="4"/>
  <c r="L28" i="4"/>
  <c r="L29" i="4"/>
  <c r="L32" i="4"/>
  <c r="L35" i="4"/>
  <c r="L39" i="4"/>
  <c r="L67" i="4"/>
  <c r="L70" i="4"/>
  <c r="L73" i="4"/>
  <c r="L81" i="4"/>
  <c r="L83" i="4"/>
  <c r="L110" i="4"/>
  <c r="L111" i="4"/>
  <c r="L120" i="4"/>
  <c r="L121" i="4"/>
  <c r="L127" i="4"/>
  <c r="L130" i="4"/>
  <c r="B28" i="9" l="1"/>
  <c r="B20" i="6"/>
  <c r="B17" i="6"/>
  <c r="B19" i="6"/>
  <c r="B18" i="6"/>
  <c r="B21" i="6"/>
  <c r="B16" i="6"/>
  <c r="B15" i="6"/>
  <c r="B14" i="6"/>
  <c r="B13" i="6"/>
  <c r="B12" i="6"/>
  <c r="K11" i="7"/>
  <c r="J20" i="6" l="1"/>
  <c r="F20" i="7" s="1"/>
  <c r="B20" i="7"/>
  <c r="G20" i="6"/>
  <c r="E20" i="6"/>
  <c r="D20" i="6"/>
  <c r="C20" i="6"/>
  <c r="G17" i="6"/>
  <c r="E17" i="6"/>
  <c r="C17" i="6"/>
  <c r="B17" i="7"/>
  <c r="J17" i="6"/>
  <c r="F17" i="7" s="1"/>
  <c r="D17" i="6"/>
  <c r="B19" i="7"/>
  <c r="J19" i="6"/>
  <c r="F19" i="7" s="1"/>
  <c r="G19" i="6"/>
  <c r="E19" i="6"/>
  <c r="D19" i="6"/>
  <c r="C19" i="6"/>
  <c r="B18" i="7"/>
  <c r="J18" i="6"/>
  <c r="F18" i="7" s="1"/>
  <c r="G18" i="6"/>
  <c r="E18" i="6"/>
  <c r="D18" i="6"/>
  <c r="C18" i="6"/>
  <c r="B21" i="7"/>
  <c r="J21" i="6"/>
  <c r="F21" i="7" s="1"/>
  <c r="G21" i="6"/>
  <c r="E21" i="6"/>
  <c r="D21" i="6"/>
  <c r="C21" i="6"/>
  <c r="B16" i="7"/>
  <c r="J16" i="6"/>
  <c r="F16" i="7" s="1"/>
  <c r="G16" i="6"/>
  <c r="E16" i="6"/>
  <c r="D16" i="6"/>
  <c r="C16" i="6"/>
  <c r="B15" i="7"/>
  <c r="J15" i="6"/>
  <c r="F15" i="7" s="1"/>
  <c r="G15" i="6"/>
  <c r="E15" i="6"/>
  <c r="D15" i="6"/>
  <c r="C15" i="6"/>
  <c r="B14" i="7"/>
  <c r="J14" i="6"/>
  <c r="F14" i="7" s="1"/>
  <c r="G14" i="6"/>
  <c r="E14" i="6"/>
  <c r="D14" i="6"/>
  <c r="C14" i="6"/>
  <c r="B13" i="7"/>
  <c r="J13" i="6"/>
  <c r="F13" i="7" s="1"/>
  <c r="G13" i="6"/>
  <c r="E13" i="6"/>
  <c r="D13" i="6"/>
  <c r="C13" i="6"/>
  <c r="B12" i="7"/>
  <c r="B9" i="7"/>
  <c r="J12" i="6"/>
  <c r="F12" i="7" s="1"/>
  <c r="G12" i="6"/>
  <c r="E12" i="6"/>
  <c r="D12" i="6"/>
  <c r="C12" i="6"/>
  <c r="K15" i="7"/>
  <c r="K12" i="7"/>
  <c r="K14" i="7"/>
  <c r="K18" i="7"/>
  <c r="K20" i="7" s="1"/>
  <c r="K13" i="7"/>
  <c r="K19" i="7"/>
  <c r="K17" i="7"/>
  <c r="K16" i="7"/>
  <c r="C17" i="7" l="1"/>
  <c r="H17" i="7" s="1"/>
  <c r="F17" i="6"/>
  <c r="E18" i="7"/>
  <c r="G18" i="7" s="1"/>
  <c r="H18" i="6"/>
  <c r="D18" i="7"/>
  <c r="I18" i="6"/>
  <c r="C18" i="7"/>
  <c r="H18" i="7" s="1"/>
  <c r="F18" i="6"/>
  <c r="C13" i="7"/>
  <c r="H13" i="7" s="1"/>
  <c r="F13" i="6"/>
  <c r="E20" i="7"/>
  <c r="G20" i="7" s="1"/>
  <c r="H20" i="6"/>
  <c r="D20" i="7"/>
  <c r="I20" i="6"/>
  <c r="C20" i="7"/>
  <c r="H20" i="7" s="1"/>
  <c r="F20" i="6"/>
  <c r="E17" i="7"/>
  <c r="G17" i="7" s="1"/>
  <c r="H17" i="6"/>
  <c r="D17" i="7"/>
  <c r="I17" i="6"/>
  <c r="E19" i="7"/>
  <c r="G19" i="7" s="1"/>
  <c r="H19" i="6"/>
  <c r="D19" i="7"/>
  <c r="I19" i="6"/>
  <c r="C19" i="7"/>
  <c r="H19" i="7" s="1"/>
  <c r="F19" i="6"/>
  <c r="E21" i="7"/>
  <c r="G21" i="7" s="1"/>
  <c r="H21" i="6"/>
  <c r="D21" i="7"/>
  <c r="I21" i="6"/>
  <c r="C21" i="7"/>
  <c r="H21" i="7" s="1"/>
  <c r="F21" i="6"/>
  <c r="E16" i="7"/>
  <c r="G16" i="7" s="1"/>
  <c r="H16" i="6"/>
  <c r="D16" i="7"/>
  <c r="I16" i="6"/>
  <c r="C16" i="7"/>
  <c r="H16" i="7" s="1"/>
  <c r="F16" i="6"/>
  <c r="E15" i="7"/>
  <c r="G15" i="7" s="1"/>
  <c r="H15" i="6"/>
  <c r="D15" i="7"/>
  <c r="I15" i="6"/>
  <c r="C15" i="7"/>
  <c r="H15" i="7" s="1"/>
  <c r="F15" i="6"/>
  <c r="E14" i="7"/>
  <c r="G14" i="7" s="1"/>
  <c r="H14" i="6"/>
  <c r="D14" i="7"/>
  <c r="I14" i="6"/>
  <c r="C14" i="7"/>
  <c r="H14" i="7" s="1"/>
  <c r="F14" i="6"/>
  <c r="E13" i="7"/>
  <c r="G13" i="7" s="1"/>
  <c r="H13" i="6"/>
  <c r="D13" i="7"/>
  <c r="I13" i="6"/>
  <c r="E12" i="7"/>
  <c r="G12" i="7" s="1"/>
  <c r="H12" i="6"/>
  <c r="D12" i="7"/>
  <c r="I12" i="6"/>
  <c r="C12" i="7"/>
  <c r="H12" i="7" s="1"/>
  <c r="F12" i="6"/>
</calcChain>
</file>

<file path=xl/sharedStrings.xml><?xml version="1.0" encoding="utf-8"?>
<sst xmlns="http://schemas.openxmlformats.org/spreadsheetml/2006/main" count="3084" uniqueCount="683">
  <si>
    <t>Yes</t>
  </si>
  <si>
    <t>Noah</t>
  </si>
  <si>
    <t>Nolen</t>
  </si>
  <si>
    <t>Spohn</t>
  </si>
  <si>
    <t>Bo Nix</t>
  </si>
  <si>
    <t>Derrick Henry</t>
  </si>
  <si>
    <t>Terry McLaurin</t>
  </si>
  <si>
    <t>Justin Herbert</t>
  </si>
  <si>
    <t>Kyren Williams</t>
  </si>
  <si>
    <t>Ladd McConkey</t>
  </si>
  <si>
    <t>Luther Burden III</t>
  </si>
  <si>
    <t>Tyler Shough</t>
  </si>
  <si>
    <t>Saquon Barkley</t>
  </si>
  <si>
    <t>Josh Allen</t>
  </si>
  <si>
    <t>A.J. Brown</t>
  </si>
  <si>
    <t>Trey McBride</t>
  </si>
  <si>
    <t>De'Von Achane</t>
  </si>
  <si>
    <t>Trevor Lawrence</t>
  </si>
  <si>
    <t>2026 Fantasy Draft Strategy — League Setup</t>
  </si>
  <si>
    <t>Setting</t>
  </si>
  <si>
    <t>Value</t>
  </si>
  <si>
    <t>Position</t>
  </si>
  <si>
    <t>Target Minimum</t>
  </si>
  <si>
    <t>Target Maximum</t>
  </si>
  <si>
    <t>League Teams</t>
  </si>
  <si>
    <t>QB</t>
  </si>
  <si>
    <t>Scoring</t>
  </si>
  <si>
    <t>PPR</t>
  </si>
  <si>
    <t>RB</t>
  </si>
  <si>
    <t>Passing TD Points</t>
  </si>
  <si>
    <t>WR</t>
  </si>
  <si>
    <t>QB Starters</t>
  </si>
  <si>
    <t>TE</t>
  </si>
  <si>
    <t>RB Starters</t>
  </si>
  <si>
    <t>K</t>
  </si>
  <si>
    <t>WR Starters</t>
  </si>
  <si>
    <t>DST</t>
  </si>
  <si>
    <t>TE Starters</t>
  </si>
  <si>
    <t>Flex Starters</t>
  </si>
  <si>
    <t>Superflex Starters</t>
  </si>
  <si>
    <t>DST Starters</t>
  </si>
  <si>
    <t>Keepers</t>
  </si>
  <si>
    <t>Taxi Spots</t>
  </si>
  <si>
    <t>Instructions</t>
  </si>
  <si>
    <t>WORKBOOK MAP — 9 ESSENTIAL TABS</t>
  </si>
  <si>
    <t>Draft Room</t>
  </si>
  <si>
    <t>Recommendations + Noah roster</t>
  </si>
  <si>
    <t>Draft Tracker</t>
  </si>
  <si>
    <t>Enter every selection</t>
  </si>
  <si>
    <t>Player Board</t>
  </si>
  <si>
    <t>Rankings and statuses</t>
  </si>
  <si>
    <t>Trade Calculator</t>
  </si>
  <si>
    <t>Keeper-adjusted trade values</t>
  </si>
  <si>
    <t>Draft Grades</t>
  </si>
  <si>
    <t>Live GM grades</t>
  </si>
  <si>
    <t>Manager Profiles</t>
  </si>
  <si>
    <t>Needs, tendencies and keepers</t>
  </si>
  <si>
    <t>Asset Values</t>
  </si>
  <si>
    <t>Editable player/pick values</t>
  </si>
  <si>
    <t>Pick Predictor</t>
  </si>
  <si>
    <t>Recommendation engine</t>
  </si>
  <si>
    <t>Setup</t>
  </si>
  <si>
    <t>Rules, settings and sources</t>
  </si>
  <si>
    <t>SOURCES &amp; UPDATE LOG</t>
  </si>
  <si>
    <t>Ranking Sources &amp; Update Log</t>
  </si>
  <si>
    <t>Source</t>
  </si>
  <si>
    <t>Use</t>
  </si>
  <si>
    <t>URL</t>
  </si>
  <si>
    <t>Last Checked</t>
  </si>
  <si>
    <t>KeepTradeCut Dynasty Superflex</t>
  </si>
  <si>
    <t>Primary market baseline</t>
  </si>
  <si>
    <t>https://keeptradecut.com/dynasty-rankings</t>
  </si>
  <si>
    <t>2026-07-24</t>
  </si>
  <si>
    <t>FantasyPros Dynasty Superflex</t>
  </si>
  <si>
    <t>Expert consensus cross-check</t>
  </si>
  <si>
    <t>https://www.fantasypros.com/nfl/rankings/dynasty-superflex.php</t>
  </si>
  <si>
    <t>Dynasty Nerds Superflex</t>
  </si>
  <si>
    <t>Independent cross-check</t>
  </si>
  <si>
    <t>https://www.dynastynerds.com/dynasty-rankings/superflex/</t>
  </si>
  <si>
    <t>Personal adjustments</t>
  </si>
  <si>
    <t>My Rank, tiers, targets and notes</t>
  </si>
  <si>
    <t>Update directly on Player Board</t>
  </si>
  <si>
    <t>Ongoing</t>
  </si>
  <si>
    <t>Date</t>
  </si>
  <si>
    <t>Change</t>
  </si>
  <si>
    <t>Reason</t>
  </si>
  <si>
    <t>Impact</t>
  </si>
  <si>
    <t>Initial workbook created</t>
  </si>
  <si>
    <t>Personal draft preparation</t>
  </si>
  <si>
    <t>Base version</t>
  </si>
  <si>
    <t>COLOR KEY</t>
  </si>
  <si>
    <t>Color</t>
  </si>
  <si>
    <t>Status / Manager</t>
  </si>
  <si>
    <t>Meaning</t>
  </si>
  <si>
    <t>Light red</t>
  </si>
  <si>
    <t>Manager</t>
  </si>
  <si>
    <t>Blue</t>
  </si>
  <si>
    <t>Light green</t>
  </si>
  <si>
    <t>Colby</t>
  </si>
  <si>
    <t>Orange</t>
  </si>
  <si>
    <t>Light blue</t>
  </si>
  <si>
    <t>Adam</t>
  </si>
  <si>
    <t>Green</t>
  </si>
  <si>
    <t>Light yellow</t>
  </si>
  <si>
    <t>Jacob</t>
  </si>
  <si>
    <t>Purple</t>
  </si>
  <si>
    <t>Gray</t>
  </si>
  <si>
    <t>Medhansh</t>
  </si>
  <si>
    <t>Red</t>
  </si>
  <si>
    <t>Lavender</t>
  </si>
  <si>
    <t>Luke</t>
  </si>
  <si>
    <t>Teal</t>
  </si>
  <si>
    <t>Brown</t>
  </si>
  <si>
    <t>Pink</t>
  </si>
  <si>
    <t>Taxi / Rookie</t>
  </si>
  <si>
    <t>Special young asset</t>
  </si>
  <si>
    <t>Teal / green</t>
  </si>
  <si>
    <t>Player Board — Rankings, Tiers &amp; Live Availability</t>
  </si>
  <si>
    <t>2026 Keeper Summary</t>
  </si>
  <si>
    <t>Player Board Controls</t>
  </si>
  <si>
    <t>Consensus Rank</t>
  </si>
  <si>
    <t>Player</t>
  </si>
  <si>
    <t>Pos</t>
  </si>
  <si>
    <t>NFL Team</t>
  </si>
  <si>
    <t>Pos Rank</t>
  </si>
  <si>
    <t>Tier</t>
  </si>
  <si>
    <t>Current KTC Rank</t>
  </si>
  <si>
    <t>League-Adjusted Rank</t>
  </si>
  <si>
    <t>Rank Edge vs KTC</t>
  </si>
  <si>
    <t>Keeper?</t>
  </si>
  <si>
    <t>Drafted?</t>
  </si>
  <si>
    <t>Keeper / Drafted By</t>
  </si>
  <si>
    <t>Target Level</t>
  </si>
  <si>
    <t>Notes</t>
  </si>
  <si>
    <t>Available Rank</t>
  </si>
  <si>
    <t>Rookie?</t>
  </si>
  <si>
    <t>Pre-Draft Available Rank</t>
  </si>
  <si>
    <t>Career Stage</t>
  </si>
  <si>
    <t>Confidence</t>
  </si>
  <si>
    <t>Editing Guide</t>
  </si>
  <si>
    <t>Current KTC Value</t>
  </si>
  <si>
    <t>Adjusted Tier</t>
  </si>
  <si>
    <t>Adjustment Label</t>
  </si>
  <si>
    <t>Ranking Updated</t>
  </si>
  <si>
    <t>Jahmyr Gibbs</t>
  </si>
  <si>
    <t>Avoid</t>
  </si>
  <si>
    <t>Near KTC after adjusting for six keepers, taxi value, role security, and eight-team replacement depth.</t>
  </si>
  <si>
    <t>No</t>
  </si>
  <si>
    <t>Young</t>
  </si>
  <si>
    <t>High</t>
  </si>
  <si>
    <t>Edit Keeper? in J. Drafted? updates automatically from Draft Tracker. Use Draft Room for live targets and recommendations.</t>
  </si>
  <si>
    <t>Near KTC</t>
  </si>
  <si>
    <t>2026-07-28</t>
  </si>
  <si>
    <t>Ja'Marr Chase</t>
  </si>
  <si>
    <t>Prime</t>
  </si>
  <si>
    <t>Bijan Robinson</t>
  </si>
  <si>
    <t>Lower than KTC</t>
  </si>
  <si>
    <t>Jaxon Smith-Njigba</t>
  </si>
  <si>
    <t>Drake Maye</t>
  </si>
  <si>
    <t>Young elite QB with weekly and long-term leverage; eight-team depth discounts him, but not outside the cornerstone tier.</t>
  </si>
  <si>
    <t>Puka Nacua</t>
  </si>
  <si>
    <t>Brock Bowers</t>
  </si>
  <si>
    <t>Caleb Williams</t>
  </si>
  <si>
    <t>Five-point passing TDs and long-term QB ceiling keep him near the top despite eight-team replacement depth.</t>
  </si>
  <si>
    <t>Amon-Ra St. Brown</t>
  </si>
  <si>
    <t>Ashton Jeanty</t>
  </si>
  <si>
    <t>Jayden Daniels</t>
  </si>
  <si>
    <t>Lamar Jackson</t>
  </si>
  <si>
    <t>Higher than KTC</t>
  </si>
  <si>
    <t>Justin Jefferson</t>
  </si>
  <si>
    <t>Still elite, but age, quarterback uncertainty, and strong name-value justify a modest discount to KTC.</t>
  </si>
  <si>
    <t>Jeremiyah Love</t>
  </si>
  <si>
    <t>Strong</t>
  </si>
  <si>
    <t>Rookie</t>
  </si>
  <si>
    <t>Medium</t>
  </si>
  <si>
    <t>Joe Burrow</t>
  </si>
  <si>
    <t>Elite TE, but no TEP and eight-team replacement depth reduce the value of his positional edge.</t>
  </si>
  <si>
    <t>Malik Nabers</t>
  </si>
  <si>
    <t>CeeDee Lamb</t>
  </si>
  <si>
    <t>Higher than KTC because immediate WAR, keeper utility, or current role matters more in this format.</t>
  </si>
  <si>
    <t>Drake London</t>
  </si>
  <si>
    <t>Omarion Hampton</t>
  </si>
  <si>
    <t>League-winning ceiling remains, but workload, durability, and efficiency dependence justify a meaningful discount.</t>
  </si>
  <si>
    <t>Patrick Mahomes</t>
  </si>
  <si>
    <t>Eight-team quarterback depth compresses non-elite QB value versus standard 12-team superflex.</t>
  </si>
  <si>
    <t>Tetairoa McMillan</t>
  </si>
  <si>
    <t>Jaxson Dart</t>
  </si>
  <si>
    <t>Colston Loveland</t>
  </si>
  <si>
    <t>High-end TE ceiling, but target competition and no TEP keep him below the premium young receivers and backs.</t>
  </si>
  <si>
    <t>Emeka Egbuka</t>
  </si>
  <si>
    <t>James Cook</t>
  </si>
  <si>
    <t>Jalen Hurts</t>
  </si>
  <si>
    <t>Jonathan Taylor</t>
  </si>
  <si>
    <t>George Pickens</t>
  </si>
  <si>
    <t>Carnell Tate</t>
  </si>
  <si>
    <t>Tyler Warren</t>
  </si>
  <si>
    <t>Strong young TE, but he must create clear weekly separation to justify top-40 value in this format.</t>
  </si>
  <si>
    <t>Brock Purdy</t>
  </si>
  <si>
    <t>Garrett Wilson</t>
  </si>
  <si>
    <t>Nico Collins</t>
  </si>
  <si>
    <t>Quinshon Judkins</t>
  </si>
  <si>
    <t>Kenneth Walker III</t>
  </si>
  <si>
    <t>Jordan Love</t>
  </si>
  <si>
    <t>DeVonta Smith</t>
  </si>
  <si>
    <t>A larger target opportunity and proven production make him more valuable than the prior ranking showed.</t>
  </si>
  <si>
    <t>Chris Olave</t>
  </si>
  <si>
    <t>Fernando Mendoza</t>
  </si>
  <si>
    <t>TreVeyon Henderson</t>
  </si>
  <si>
    <t>Breece Hall</t>
  </si>
  <si>
    <t>Cam Ward</t>
  </si>
  <si>
    <t>Jordyn Tyson</t>
  </si>
  <si>
    <t>Rome Odunze</t>
  </si>
  <si>
    <t>Draft capital and upside deserve patience, but he still needs consistent target dominance in a six-keeper league.</t>
  </si>
  <si>
    <t>Chase Brown</t>
  </si>
  <si>
    <t>Christian McCaffrey</t>
  </si>
  <si>
    <t>Shorter keeper runway is outweighed by legitimate championship-level 2026 WAR.</t>
  </si>
  <si>
    <t>Veteran</t>
  </si>
  <si>
    <t>Makai Lemon</t>
  </si>
  <si>
    <t>Dak Prescott</t>
  </si>
  <si>
    <t>Zay Flowers</t>
  </si>
  <si>
    <t>Tucker Kraft</t>
  </si>
  <si>
    <t>No TEP and shallow replacement depth require real weekly separation before paying a major premium.</t>
  </si>
  <si>
    <t>Tee Higgins</t>
  </si>
  <si>
    <t>Prime-age, proven production and weekly usability outweigh the lack of a true overall WR1 ceiling.</t>
  </si>
  <si>
    <t>Marvin Harrison Jr.</t>
  </si>
  <si>
    <t>Lower than KTC because generic dynasty value overstates patience, scarcity, or long-term upside here.</t>
  </si>
  <si>
    <t>Brian Thomas Jr.</t>
  </si>
  <si>
    <t>Already displayed a ceiling many prospects have not; shallow-league replacement depth still limits the premium.</t>
  </si>
  <si>
    <t>Rashee Rice</t>
  </si>
  <si>
    <t>Jaylen Waddle</t>
  </si>
  <si>
    <t>Jadarian Price</t>
  </si>
  <si>
    <t>Harold Fannin Jr.</t>
  </si>
  <si>
    <t>Cam Skattebo</t>
  </si>
  <si>
    <t>C.J. Stroud</t>
  </si>
  <si>
    <t>Late</t>
  </si>
  <si>
    <t>Jared Goff</t>
  </si>
  <si>
    <t>Baker Mayfield</t>
  </si>
  <si>
    <t>Jameson Williams</t>
  </si>
  <si>
    <t>Bucky Irving</t>
  </si>
  <si>
    <t>Young lead-back upside helps, but injury, efficiency, and role uncertainty do not justify a top-55 price.</t>
  </si>
  <si>
    <t>Javonte Williams</t>
  </si>
  <si>
    <t>Sam LaPorta</t>
  </si>
  <si>
    <t>Still young with rebound potential, but he belongs below the established elite TE separators.</t>
  </si>
  <si>
    <t>Kyle Pitts</t>
  </si>
  <si>
    <t>Sam Darnold</t>
  </si>
  <si>
    <t>Travis Etienne Jr.</t>
  </si>
  <si>
    <t>KC Concepcion</t>
  </si>
  <si>
    <t>Josh Jacobs</t>
  </si>
  <si>
    <t>Age lowers long-term value, but immediate volume and championship utility matter far more than in a dynasty startup.</t>
  </si>
  <si>
    <t>Bhayshul Tuten</t>
  </si>
  <si>
    <t>Age creates obvious downside, yet his near-term scoring remains too valuable to bury in an annual draft.</t>
  </si>
  <si>
    <t>Kenyon Sadiq</t>
  </si>
  <si>
    <t>Developmental rookie TE with no TEP; taxi value is not enough to outweigh a long path to weekly separation.</t>
  </si>
  <si>
    <t>Low</t>
  </si>
  <si>
    <t>Christian Watson</t>
  </si>
  <si>
    <t>Bryce Young</t>
  </si>
  <si>
    <t>Kyler Murray</t>
  </si>
  <si>
    <t>Malik Willis</t>
  </si>
  <si>
    <t>Alec Pierce</t>
  </si>
  <si>
    <t>Matthew Stafford</t>
  </si>
  <si>
    <t>Jordan Addison</t>
  </si>
  <si>
    <t>Daniel Jones</t>
  </si>
  <si>
    <t>D'Andre Swift</t>
  </si>
  <si>
    <t>Parker Washington</t>
  </si>
  <si>
    <t>Quentin Johnston</t>
  </si>
  <si>
    <t>Limited keeper appeal, but dependable current production makes him far more useful than a dynasty-style rank implied.</t>
  </si>
  <si>
    <t>Michael Wilson</t>
  </si>
  <si>
    <t>Omar Cooper Jr.</t>
  </si>
  <si>
    <t>Josh Downs</t>
  </si>
  <si>
    <t>D.J. Moore</t>
  </si>
  <si>
    <t>Oronde Gadsden II</t>
  </si>
  <si>
    <t>Matthew Golden</t>
  </si>
  <si>
    <t>Ricky Pearsall</t>
  </si>
  <si>
    <t>Ty Simpson</t>
  </si>
  <si>
    <t>Davante Adams</t>
  </si>
  <si>
    <t>Age and declining liquidity matter, but his near-term scoring should remain ahead of many developmental bets.</t>
  </si>
  <si>
    <t>Denzel Boston</t>
  </si>
  <si>
    <t>David Montgomery</t>
  </si>
  <si>
    <t>Kyle Monangai</t>
  </si>
  <si>
    <t>DK Metcalf</t>
  </si>
  <si>
    <t>Isaiah Likely</t>
  </si>
  <si>
    <t>Wan'Dale Robinson</t>
  </si>
  <si>
    <t>Eli Stowers</t>
  </si>
  <si>
    <t>Michael Pittman Jr.</t>
  </si>
  <si>
    <t>Jayden Higgins</t>
  </si>
  <si>
    <t>Jonathon Brooks</t>
  </si>
  <si>
    <t>George Kittle</t>
  </si>
  <si>
    <t>Age limits keeper runway, but healthy weekly positional advantage makes him a strong annual-draft asset.</t>
  </si>
  <si>
    <t>Jayden Reed</t>
  </si>
  <si>
    <t>Blake Corum</t>
  </si>
  <si>
    <t>RJ Harvey</t>
  </si>
  <si>
    <t>Zach Charbonnet</t>
  </si>
  <si>
    <t>Travis Hunter</t>
  </si>
  <si>
    <t>Mike Evans</t>
  </si>
  <si>
    <t>Age compresses long-term value, but touchdown and weekly ceiling remain highly relevant in the annual draft.</t>
  </si>
  <si>
    <t>Xavier Worthy</t>
  </si>
  <si>
    <t>Jaylen Warren</t>
  </si>
  <si>
    <t>Chuba Hubbard</t>
  </si>
  <si>
    <t>Dalton Kincaid</t>
  </si>
  <si>
    <t>Jalen Coker</t>
  </si>
  <si>
    <t>Jonah Coleman</t>
  </si>
  <si>
    <t>Rico Dowdle</t>
  </si>
  <si>
    <t>Jake Ferguson</t>
  </si>
  <si>
    <t>Antonio Williams</t>
  </si>
  <si>
    <t>Brenton Strange</t>
  </si>
  <si>
    <t>Chris Godwin</t>
  </si>
  <si>
    <t>Khalil Shakir</t>
  </si>
  <si>
    <t>Rachaad White</t>
  </si>
  <si>
    <t>Jakobi Meyers</t>
  </si>
  <si>
    <t>Rhamondre Stevenson</t>
  </si>
  <si>
    <t>J.K. Dobbins</t>
  </si>
  <si>
    <t>Jacory Croskey-Merritt</t>
  </si>
  <si>
    <t>Chris Bell</t>
  </si>
  <si>
    <t>Kenneth Gainwell</t>
  </si>
  <si>
    <t>Aaron Jones</t>
  </si>
  <si>
    <t>Jalen McMillan</t>
  </si>
  <si>
    <t>Evan Engram</t>
  </si>
  <si>
    <t>Deebo Samuel</t>
  </si>
  <si>
    <t>Tyjae Spears</t>
  </si>
  <si>
    <t>Rashid Shaheed</t>
  </si>
  <si>
    <t>Najee Harris</t>
  </si>
  <si>
    <t>Jaydon Blue</t>
  </si>
  <si>
    <t>Rashod Bateman</t>
  </si>
  <si>
    <t>Keon Coleman</t>
  </si>
  <si>
    <t>Tank Dell</t>
  </si>
  <si>
    <t>Tre Harris</t>
  </si>
  <si>
    <t>Mason Taylor</t>
  </si>
  <si>
    <t>MarShawn Lloyd</t>
  </si>
  <si>
    <t>Trey Benson</t>
  </si>
  <si>
    <t>Kaleb Johnson</t>
  </si>
  <si>
    <t>Pat Bryant</t>
  </si>
  <si>
    <t>Jalen Royals</t>
  </si>
  <si>
    <t>Jack Bech</t>
  </si>
  <si>
    <t>LV</t>
  </si>
  <si>
    <t>Spohn keeper</t>
  </si>
  <si>
    <t>Live Draft Tracker</t>
  </si>
  <si>
    <t>Draft Pick Ownership Notes</t>
  </si>
  <si>
    <t>Pick</t>
  </si>
  <si>
    <t>Round</t>
  </si>
  <si>
    <t>Pick in Round</t>
  </si>
  <si>
    <t>My Pick?</t>
  </si>
  <si>
    <t>My Rank</t>
  </si>
  <si>
    <t>Value vs Expected Pick</t>
  </si>
  <si>
    <t>Roster Key</t>
  </si>
  <si>
    <t>Alias Entered</t>
  </si>
  <si>
    <t>Mapped Manager</t>
  </si>
  <si>
    <t>Rounds</t>
  </si>
  <si>
    <t>Note</t>
  </si>
  <si>
    <t>Need Impact</t>
  </si>
  <si>
    <t>Jonathan</t>
  </si>
  <si>
    <t>2.06, 3.05, 3.08</t>
  </si>
  <si>
    <t>Mapped to the previously listed manager Spohn</t>
  </si>
  <si>
    <t>Med</t>
  </si>
  <si>
    <t>2.07, 3.07</t>
  </si>
  <si>
    <t>Shortened name standardized</t>
  </si>
  <si>
    <t>Editing Pick Ownership</t>
  </si>
  <si>
    <t>After a pick trade, change the Manager dropdown on that pick. My Pick? updates automatically, and Noah's roster updates in the Draft Room.</t>
  </si>
  <si>
    <t>Value vs Expected Pick is now based on each player's fixed pre-draft rank among non-keepers. It will not change or break when drafted players disappear. 0 = drafted exactly where expected; +1 = one pick later than expected; +4 = four picks later; -1 = one pick earlier.</t>
  </si>
  <si>
    <t>Next Pick Panel</t>
  </si>
  <si>
    <t>Metric</t>
  </si>
  <si>
    <t>Next Noah Pick</t>
  </si>
  <si>
    <t>Current Draft Pick</t>
  </si>
  <si>
    <t>Picks Until Then</t>
  </si>
  <si>
    <t>Round / Slot</t>
  </si>
  <si>
    <t>Top Available Targets</t>
  </si>
  <si>
    <t>Watch?</t>
  </si>
  <si>
    <t>Available Players — Keepers Automatically Removed</t>
  </si>
  <si>
    <t>This sheet automatically shows only players marked Keeper? = No on the Player Board. Change a player's Keeper? value there and this list updates automatically.</t>
  </si>
  <si>
    <t>Avail. Rank</t>
  </si>
  <si>
    <t>KTC Baseline</t>
  </si>
  <si>
    <t>Expected Draft Slot</t>
  </si>
  <si>
    <t>Value vs Cost</t>
  </si>
  <si>
    <t>League Overview — Needs, Tendencies &amp; Keepers</t>
  </si>
  <si>
    <t>Edit yellow cells. Suggested competitive windows are starting assumptions and can be changed at any time.</t>
  </si>
  <si>
    <t>Competitive Window</t>
  </si>
  <si>
    <t>QB Target</t>
  </si>
  <si>
    <t>RB Target</t>
  </si>
  <si>
    <t>WR Target</t>
  </si>
  <si>
    <t>TE Target</t>
  </si>
  <si>
    <t>Rookie Preference</t>
  </si>
  <si>
    <t>Veteran Preference</t>
  </si>
  <si>
    <t>Risk Tolerance</t>
  </si>
  <si>
    <t>Current QB</t>
  </si>
  <si>
    <t>Current RB</t>
  </si>
  <si>
    <t>Current WR</t>
  </si>
  <si>
    <t>Current TE</t>
  </si>
  <si>
    <t>Biggest Need</t>
  </si>
  <si>
    <t>Keeper QB Need</t>
  </si>
  <si>
    <t>Keeper RB Need</t>
  </si>
  <si>
    <t>Keeper WR Need</t>
  </si>
  <si>
    <t>Keeper TE Need</t>
  </si>
  <si>
    <t>Current QB Need</t>
  </si>
  <si>
    <t>Current RB Need</t>
  </si>
  <si>
    <t>Current WR Need</t>
  </si>
  <si>
    <t>Current TE Need</t>
  </si>
  <si>
    <t>Contender</t>
  </si>
  <si>
    <t>Balanced</t>
  </si>
  <si>
    <t>LIVE NEEDS: Every completed draft pick automatically updates Current QB/RB/WR/TE, reduces that position's need according to player quality, and recalculates Biggest Need. Top-20 player = 4.5 impact; ranks 21–40 = 3.5; 41–70 = 2.5; 71–110 = 1.5; later players = 1.0.</t>
  </si>
  <si>
    <t>LEAGUE KEEPER ROSTERS</t>
  </si>
  <si>
    <t>2026 League Keeper Summary</t>
  </si>
  <si>
    <t>Owner Color Key</t>
  </si>
  <si>
    <t>Owner tag</t>
  </si>
  <si>
    <t>Keeper 1</t>
  </si>
  <si>
    <t>Keeper 2</t>
  </si>
  <si>
    <t>Keeper 3</t>
  </si>
  <si>
    <t>Keeper 4</t>
  </si>
  <si>
    <t>Keeper 5</t>
  </si>
  <si>
    <t>Keeper 6</t>
  </si>
  <si>
    <t>Keeper 7</t>
  </si>
  <si>
    <t>Keeper 8</t>
  </si>
  <si>
    <t>Rookie = Yes</t>
  </si>
  <si>
    <t>Keeper = Yes</t>
  </si>
  <si>
    <t>Gold</t>
  </si>
  <si>
    <t>Keeper = No</t>
  </si>
  <si>
    <t>Next-Pick Predictor</t>
  </si>
  <si>
    <t>Scores available players for the manager on the clock using value, roster need, timeline, expected cost and tier urgency.</t>
  </si>
  <si>
    <t>Current Pick</t>
  </si>
  <si>
    <t>League Rank</t>
  </si>
  <si>
    <t>Expected Slot</t>
  </si>
  <si>
    <t>Raw Score</t>
  </si>
  <si>
    <t>Unique Score</t>
  </si>
  <si>
    <t>Next Noah Helper</t>
  </si>
  <si>
    <t>Noah Need</t>
  </si>
  <si>
    <t>On-Clock Need</t>
  </si>
  <si>
    <t>Need Advantage</t>
  </si>
  <si>
    <t>Reach Risk</t>
  </si>
  <si>
    <t>Trade-Up Score</t>
  </si>
  <si>
    <t>Next Same-Pos Rank</t>
  </si>
  <si>
    <t>Value Cliff</t>
  </si>
  <si>
    <t>Value at Current Pick</t>
  </si>
  <si>
    <t>Eligible Trade-Up?</t>
  </si>
  <si>
    <t>Extreme Cliff?</t>
  </si>
  <si>
    <t>Meaningful Fall?</t>
  </si>
  <si>
    <t>Extreme Opportunity?</t>
  </si>
  <si>
    <t>Manager on Clock</t>
  </si>
  <si>
    <t>Model Note</t>
  </si>
  <si>
    <t>Decision support—not a guarantee.</t>
  </si>
  <si>
    <t>Recommendation</t>
  </si>
  <si>
    <t>Need</t>
  </si>
  <si>
    <t>Window</t>
  </si>
  <si>
    <t>Model Score</t>
  </si>
  <si>
    <t>Alpha Bear Live Draft Room</t>
  </si>
  <si>
    <t>Current-pick recommendation, team needs, tier urgency and the chance a player reaches Noah's next selection.</t>
  </si>
  <si>
    <t>Current</t>
  </si>
  <si>
    <t>Target</t>
  </si>
  <si>
    <t>Priority</t>
  </si>
  <si>
    <t>Top Recommendation</t>
  </si>
  <si>
    <t>TRADE-UP ADVISOR</t>
  </si>
  <si>
    <t>Rank</t>
  </si>
  <si>
    <t>Why</t>
  </si>
  <si>
    <t>Candidate</t>
  </si>
  <si>
    <t>Current owner</t>
  </si>
  <si>
    <t>Noah need</t>
  </si>
  <si>
    <t>Owner need</t>
  </si>
  <si>
    <t>Likely gone before Noah?</t>
  </si>
  <si>
    <t>Value at current pick</t>
  </si>
  <si>
    <t>Value cliff after candidate</t>
  </si>
  <si>
    <t>Trade-up score</t>
  </si>
  <si>
    <t>Trade-up alerts are now intentionally rare. A player must fall at least three picks past expected cost, be at least three picks unlikely to reach Noah, create a 12+ rank drop to the next same-position option, fit Noah much more than the current manager, and satisfy a high score threshold. Otherwise the advisor says to hold.</t>
  </si>
  <si>
    <t>NOAH ROSTER BUILD</t>
  </si>
  <si>
    <t>Roster Construction &amp; Draft Plan</t>
  </si>
  <si>
    <t>NOAH CURRENT ROSTER COUNTS</t>
  </si>
  <si>
    <t>Slot</t>
  </si>
  <si>
    <t>Status</t>
  </si>
  <si>
    <t>Minimum</t>
  </si>
  <si>
    <t>Draft Need</t>
  </si>
  <si>
    <t>QB1</t>
  </si>
  <si>
    <t>Keeper</t>
  </si>
  <si>
    <t>Locked</t>
  </si>
  <si>
    <t>Elite QB1</t>
  </si>
  <si>
    <t>QB2</t>
  </si>
  <si>
    <t>First QB drafted by Noah</t>
  </si>
  <si>
    <t>QB3</t>
  </si>
  <si>
    <t>Second QB drafted by Noah</t>
  </si>
  <si>
    <t>RB1</t>
  </si>
  <si>
    <t>Foundation RB</t>
  </si>
  <si>
    <t>RB2</t>
  </si>
  <si>
    <t>Taxi</t>
  </si>
  <si>
    <t>Young cornerstone</t>
  </si>
  <si>
    <t>RB3</t>
  </si>
  <si>
    <t>Flex/RB depth</t>
  </si>
  <si>
    <t>RB4</t>
  </si>
  <si>
    <t>First RB drafted by Noah</t>
  </si>
  <si>
    <t>RB5</t>
  </si>
  <si>
    <t>Second RB drafted by Noah</t>
  </si>
  <si>
    <t>Your Personal Draft Needs</t>
  </si>
  <si>
    <t>WR1</t>
  </si>
  <si>
    <t>Elite WR cornerstone</t>
  </si>
  <si>
    <t>1</t>
  </si>
  <si>
    <t>Secure a dependable superflex starter.</t>
  </si>
  <si>
    <t>WR2</t>
  </si>
  <si>
    <t>Elite WR</t>
  </si>
  <si>
    <t>2</t>
  </si>
  <si>
    <t>TE1</t>
  </si>
  <si>
    <t>You currently have no tight end.</t>
  </si>
  <si>
    <t>WR3</t>
  </si>
  <si>
    <t>3</t>
  </si>
  <si>
    <t>Best value / upside</t>
  </si>
  <si>
    <t>Roster is strong enough to avoid positional reaches.</t>
  </si>
  <si>
    <t>WR4</t>
  </si>
  <si>
    <t>Prime-age starter</t>
  </si>
  <si>
    <t>4</t>
  </si>
  <si>
    <t>Add depth after moving Hampton, but do not force it.</t>
  </si>
  <si>
    <t>WR5</t>
  </si>
  <si>
    <t>First WR drafted by Noah</t>
  </si>
  <si>
    <t>5</t>
  </si>
  <si>
    <t>WR depth</t>
  </si>
  <si>
    <t>Four starting-caliber WRs are already retained.</t>
  </si>
  <si>
    <t>WR6</t>
  </si>
  <si>
    <t>Second WR drafted by Noah</t>
  </si>
  <si>
    <t>6</t>
  </si>
  <si>
    <t>Kicker</t>
  </si>
  <si>
    <t>Use one of the final selections.</t>
  </si>
  <si>
    <t>First TE drafted by Noah</t>
  </si>
  <si>
    <t>7</t>
  </si>
  <si>
    <t>Use one of the final two selections.</t>
  </si>
  <si>
    <t>TE2</t>
  </si>
  <si>
    <t>Second TE drafted by Noah</t>
  </si>
  <si>
    <t>Automatic Roster Updates</t>
  </si>
  <si>
    <t>First kicker drafted by Noah</t>
  </si>
  <si>
    <t>Any player entered on a Draft Tracker row owned by Noah is automatically placed into the next open slot for that position. Changing the pick owner after a trade also adds or removes the player automatically. Position totals and Draft Need update at the same time.</t>
  </si>
  <si>
    <t>First defense drafted by Noah</t>
  </si>
  <si>
    <t>Trade Asset Values</t>
  </si>
  <si>
    <t>Values are league-specific estimates built from the Top 160, keeper ownership and draft-pick scarcity. Edit yellow values to override the model.</t>
  </si>
  <si>
    <t>Asset</t>
  </si>
  <si>
    <t>Type</t>
  </si>
  <si>
    <t>Owner</t>
  </si>
  <si>
    <t>Player/Label</t>
  </si>
  <si>
    <t>Base Value</t>
  </si>
  <si>
    <t>Manual Override</t>
  </si>
  <si>
    <t>Trade Value</t>
  </si>
  <si>
    <t>Slot Type</t>
  </si>
  <si>
    <t>Taxi Boost</t>
  </si>
  <si>
    <t>Value Notes</t>
  </si>
  <si>
    <t>Trade Model Setting</t>
  </si>
  <si>
    <t>Regular</t>
  </si>
  <si>
    <t>Taxi value boost</t>
  </si>
  <si>
    <t>Maximum star premium</t>
  </si>
  <si>
    <t>Star-gap multiplier</t>
  </si>
  <si>
    <t>Extra regular-player penalty</t>
  </si>
  <si>
    <t>Extra taxi-player penalty</t>
  </si>
  <si>
    <t>Fair threshold</t>
  </si>
  <si>
    <t>Slight imbalance threshold</t>
  </si>
  <si>
    <t>2026 1.01</t>
  </si>
  <si>
    <t>2026 Pick</t>
  </si>
  <si>
    <t>2026 1.02</t>
  </si>
  <si>
    <t>2026 1.03</t>
  </si>
  <si>
    <t>2026 1.04</t>
  </si>
  <si>
    <t>2026 1.05</t>
  </si>
  <si>
    <t>2026 1.06</t>
  </si>
  <si>
    <t>2026 1.07</t>
  </si>
  <si>
    <t>2026 1.08</t>
  </si>
  <si>
    <t>2026 2.01</t>
  </si>
  <si>
    <t>2026 2.02</t>
  </si>
  <si>
    <t>2026 2.03</t>
  </si>
  <si>
    <t>2026 2.04</t>
  </si>
  <si>
    <t>2026 2.05</t>
  </si>
  <si>
    <t>2026 2.06</t>
  </si>
  <si>
    <t>2026 2.07</t>
  </si>
  <si>
    <t>2026 2.08</t>
  </si>
  <si>
    <t>2026 3.01</t>
  </si>
  <si>
    <t>2026 3.02</t>
  </si>
  <si>
    <t>2026 3.03</t>
  </si>
  <si>
    <t>2026 3.04</t>
  </si>
  <si>
    <t>2026 3.05</t>
  </si>
  <si>
    <t>2026 3.06</t>
  </si>
  <si>
    <t>2026 3.07</t>
  </si>
  <si>
    <t>2026 3.08</t>
  </si>
  <si>
    <t>2026 4.04</t>
  </si>
  <si>
    <t>2026 5.02</t>
  </si>
  <si>
    <t>2026 5.03</t>
  </si>
  <si>
    <t>2026 7.05</t>
  </si>
  <si>
    <t>2026 7.08</t>
  </si>
  <si>
    <t>2026 8.04</t>
  </si>
  <si>
    <t>2026 9.05</t>
  </si>
  <si>
    <t>2026 10.04</t>
  </si>
  <si>
    <t>2026 11.05</t>
  </si>
  <si>
    <t>2027 Noah Round 1</t>
  </si>
  <si>
    <t>Future Pick</t>
  </si>
  <si>
    <t>2027 Noah Round 2</t>
  </si>
  <si>
    <t>2027 Noah Round 3</t>
  </si>
  <si>
    <t>2027 Colby Round 1</t>
  </si>
  <si>
    <t>2027 Colby Round 2</t>
  </si>
  <si>
    <t>2027 Colby Round 3</t>
  </si>
  <si>
    <t>2027 Adam Round 1</t>
  </si>
  <si>
    <t>2027 Adam Round 2</t>
  </si>
  <si>
    <t>2027 Adam Round 3</t>
  </si>
  <si>
    <t>2027 Jacob Round 1</t>
  </si>
  <si>
    <t>2027 Jacob Round 2</t>
  </si>
  <si>
    <t>2027 Jacob Round 3</t>
  </si>
  <si>
    <t>2027 Medhansh Round 1</t>
  </si>
  <si>
    <t>2027 Medhansh Round 2</t>
  </si>
  <si>
    <t>2027 Medhansh Round 3</t>
  </si>
  <si>
    <t>2027 Luke Round 1</t>
  </si>
  <si>
    <t>2027 Luke Round 2</t>
  </si>
  <si>
    <t>2027 Luke Round 3</t>
  </si>
  <si>
    <t>2027 Spohn Round 1</t>
  </si>
  <si>
    <t>2027 Spohn Round 2</t>
  </si>
  <si>
    <t>2027 Spohn Round 3</t>
  </si>
  <si>
    <t>2027 Nolen Round 1</t>
  </si>
  <si>
    <t>2027 Nolen Round 2</t>
  </si>
  <si>
    <t>2027 Nolen Round 3</t>
  </si>
  <si>
    <t>2028 Noah Round 1</t>
  </si>
  <si>
    <t>2028 Noah Round 2</t>
  </si>
  <si>
    <t>2028 Noah Round 3</t>
  </si>
  <si>
    <t>2028 Colby Round 1</t>
  </si>
  <si>
    <t>2028 Colby Round 2</t>
  </si>
  <si>
    <t>2028 Colby Round 3</t>
  </si>
  <si>
    <t>2028 Adam Round 1</t>
  </si>
  <si>
    <t>2028 Adam Round 2</t>
  </si>
  <si>
    <t>2028 Adam Round 3</t>
  </si>
  <si>
    <t>2028 Jacob Round 1</t>
  </si>
  <si>
    <t>2028 Jacob Round 2</t>
  </si>
  <si>
    <t>2028 Jacob Round 3</t>
  </si>
  <si>
    <t>2028 Medhansh Round 1</t>
  </si>
  <si>
    <t>2028 Medhansh Round 2</t>
  </si>
  <si>
    <t>2028 Medhansh Round 3</t>
  </si>
  <si>
    <t>2028 Luke Round 1</t>
  </si>
  <si>
    <t>2028 Luke Round 2</t>
  </si>
  <si>
    <t>2028 Luke Round 3</t>
  </si>
  <si>
    <t>2028 Spohn Round 1</t>
  </si>
  <si>
    <t>2028 Spohn Round 2</t>
  </si>
  <si>
    <t>2028 Spohn Round 3</t>
  </si>
  <si>
    <t>2028 Nolen Round 1</t>
  </si>
  <si>
    <t>2028 Nolen Round 2</t>
  </si>
  <si>
    <t>2028 Nolen Round 3</t>
  </si>
  <si>
    <t>Live Draft Trade Calculator — Keeper Consolidation Model</t>
  </si>
  <si>
    <t>Select two managers and up to six assets per side. Elite players receive a growing consolidation premium; extra regular players are penalized for using keeper slots; picks are excluded from both effects.</t>
  </si>
  <si>
    <t>Manager A</t>
  </si>
  <si>
    <t>Manager B</t>
  </si>
  <si>
    <t>Package A raw value</t>
  </si>
  <si>
    <t>Package B raw value</t>
  </si>
  <si>
    <t>Best player in A package</t>
  </si>
  <si>
    <t>Best player in B package</t>
  </si>
  <si>
    <t>Star premium on A package</t>
  </si>
  <si>
    <t>Star premium on B package</t>
  </si>
  <si>
    <t>Keeper-slot penalty</t>
  </si>
  <si>
    <t>Adjusted A package</t>
  </si>
  <si>
    <t>Adjusted B package</t>
  </si>
  <si>
    <t>Package advantage</t>
  </si>
  <si>
    <t>Manager A Sends</t>
  </si>
  <si>
    <t>Valid?</t>
  </si>
  <si>
    <t>Adjusted Value</t>
  </si>
  <si>
    <t>Manager B Sends</t>
  </si>
  <si>
    <t>Trade Result</t>
  </si>
  <si>
    <t>Keeper-league adjustment</t>
  </si>
  <si>
    <t>Adjusted difference</t>
  </si>
  <si>
    <t>Star premium</t>
  </si>
  <si>
    <t>Applied directly to the adjusted-value cell of the best player in the stronger package.</t>
  </si>
  <si>
    <t>Difference %</t>
  </si>
  <si>
    <t>Regular-player penalty</t>
  </si>
  <si>
    <t>Additional regular players are discounted because they consume keeper slots.</t>
  </si>
  <si>
    <t>Winner</t>
  </si>
  <si>
    <t>Taxi treatment</t>
  </si>
  <si>
    <t>Taxi players receive a small value boost and a reduced slot penalty.</t>
  </si>
  <si>
    <t>Classification</t>
  </si>
  <si>
    <t>Picks</t>
  </si>
  <si>
    <t>Picks retain base value and never receive the elite-asset premium.</t>
  </si>
  <si>
    <t>Ownership Check</t>
  </si>
  <si>
    <t>Fair</t>
  </si>
  <si>
    <t>Adjusted difference is within the editable fair threshold.</t>
  </si>
  <si>
    <t>Raw-value winner</t>
  </si>
  <si>
    <t>Slight</t>
  </si>
  <si>
    <t>Between the fair and slight-imbalance thresholds.</t>
  </si>
  <si>
    <t>Interpretation</t>
  </si>
  <si>
    <t>Very imbalanced</t>
  </si>
  <si>
    <t>Above the slight-imbalance threshold.</t>
  </si>
  <si>
    <t>Live Draft Grades by GM</t>
  </si>
  <si>
    <t>Grades evaluate decisions made so far. Best-player-available value drives the grade; filling needs is a bonus, not a requirement that can turn a strong pick into an F.</t>
  </si>
  <si>
    <t>Picks Made</t>
  </si>
  <si>
    <t>Avg Pick Value +/-</t>
  </si>
  <si>
    <t>BPA / Value Score</t>
  </si>
  <si>
    <t>Initial Biggest Need</t>
  </si>
  <si>
    <t>Need Picks</t>
  </si>
  <si>
    <t>Need Bonus Score</t>
  </si>
  <si>
    <t>Draft Diversity</t>
  </si>
  <si>
    <t>Total Score</t>
  </si>
  <si>
    <t>Grade</t>
  </si>
  <si>
    <t>Best Value Pick</t>
  </si>
  <si>
    <t>Biggest Reach</t>
  </si>
  <si>
    <t>QB Drafted</t>
  </si>
  <si>
    <t>RB Drafted</t>
  </si>
  <si>
    <t>WR/TE Drafted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</si>
</sst>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8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b/>
      <sz val="10"/>
      <color rgb="FFFFFFFF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rgb="FF172554"/>
      <name val="Aptos"/>
      <family val="2"/>
    </font>
    <font>
      <b/>
      <sz val="16"/>
      <color rgb="FFFFFFFF"/>
      <name val="Aptos"/>
      <family val="2"/>
    </font>
    <font>
      <b/>
      <sz val="14"/>
      <color rgb="FFFFFFFF"/>
      <name val="Aptos"/>
      <family val="2"/>
    </font>
    <font>
      <sz val="10"/>
      <color rgb="FF172554"/>
      <name val="Aptos"/>
      <family val="2"/>
    </font>
    <font>
      <sz val="11"/>
      <color rgb="FF172554"/>
      <name val="Carlito"/>
    </font>
    <font>
      <b/>
      <sz val="13"/>
      <color rgb="FFFFFFFF"/>
      <name val="Aptos"/>
      <family val="2"/>
    </font>
    <font>
      <b/>
      <i/>
      <sz val="10"/>
      <color rgb="FF475569"/>
      <name val="Aptos"/>
      <family val="2"/>
    </font>
    <font>
      <b/>
      <sz val="16"/>
      <color rgb="FFFFFFFF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1"/>
      <color rgb="FF274E13"/>
      <name val="Carlito"/>
    </font>
    <font>
      <i/>
      <sz val="10"/>
      <color rgb="FF7F7F7F"/>
      <name val="Aptos"/>
      <family val="2"/>
    </font>
    <font>
      <b/>
      <i/>
      <sz val="10"/>
      <color rgb="FF7F7F7F"/>
      <name val="Aptos"/>
      <family val="2"/>
    </font>
    <font>
      <b/>
      <i/>
      <sz val="14"/>
      <color rgb="FF7F7F7F"/>
      <name val="Aptos"/>
      <family val="2"/>
    </font>
    <font>
      <b/>
      <sz val="17"/>
      <color rgb="FFFFFFFF"/>
      <name val="Carlito"/>
    </font>
    <font>
      <b/>
      <sz val="13"/>
      <color rgb="FFFFFFFF"/>
      <name val="Carlito"/>
    </font>
    <font>
      <b/>
      <sz val="12"/>
      <color rgb="FFFFFFFF"/>
      <name val="Carlito"/>
    </font>
    <font>
      <b/>
      <sz val="11"/>
      <color rgb="FF783F04"/>
      <name val="Carlito"/>
    </font>
    <font>
      <i/>
      <sz val="11"/>
      <color rgb="FF7F6000"/>
      <name val="Carlito"/>
    </font>
    <font>
      <b/>
      <i/>
      <sz val="11"/>
      <color rgb="FF783F04"/>
      <name val="Carlito"/>
    </font>
    <font>
      <b/>
      <i/>
      <sz val="13"/>
      <color rgb="FF7F6000"/>
      <name val="Carlito"/>
    </font>
  </fonts>
  <fills count="80">
    <fill>
      <patternFill patternType="none"/>
    </fill>
    <fill>
      <patternFill patternType="gray125"/>
    </fill>
    <fill>
      <patternFill patternType="solid">
        <fgColor rgb="FF172554"/>
      </patternFill>
    </fill>
    <fill>
      <patternFill patternType="solid">
        <fgColor rgb="FF2563EB"/>
      </patternFill>
    </fill>
    <fill>
      <patternFill patternType="solid">
        <fgColor rgb="FFF1F5F9"/>
      </patternFill>
    </fill>
    <fill>
      <patternFill patternType="solid">
        <fgColor rgb="FFFFFFFF"/>
      </patternFill>
    </fill>
    <fill>
      <patternFill patternType="solid">
        <fgColor rgb="FFDBEAFE"/>
      </patternFill>
    </fill>
    <fill>
      <patternFill patternType="solid">
        <fgColor rgb="FF2563EB"/>
      </patternFill>
    </fill>
    <fill>
      <patternFill patternType="solid">
        <fgColor rgb="FFF1F5F9"/>
      </patternFill>
    </fill>
    <fill>
      <patternFill patternType="solid">
        <fgColor rgb="FF172554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172554"/>
      </patternFill>
    </fill>
    <fill>
      <patternFill patternType="solid">
        <fgColor rgb="FF172554"/>
      </patternFill>
    </fill>
    <fill>
      <patternFill patternType="solid">
        <fgColor rgb="FF2563EB"/>
      </patternFill>
    </fill>
    <fill>
      <patternFill patternType="solid">
        <fgColor rgb="FF172554"/>
      </patternFill>
    </fill>
    <fill>
      <patternFill patternType="solid">
        <fgColor rgb="FFEFF6FF"/>
      </patternFill>
    </fill>
    <fill>
      <patternFill patternType="solid">
        <fgColor rgb="FFF0FDF4"/>
      </patternFill>
    </fill>
    <fill>
      <patternFill patternType="solid">
        <fgColor rgb="FF172554"/>
      </patternFill>
    </fill>
    <fill>
      <patternFill patternType="solid">
        <fgColor rgb="FFEFF6FF"/>
      </patternFill>
    </fill>
    <fill>
      <patternFill patternType="solid">
        <fgColor rgb="FF2563EB"/>
      </patternFill>
    </fill>
    <fill>
      <patternFill patternType="solid">
        <fgColor rgb="FF172554"/>
      </patternFill>
    </fill>
    <fill>
      <patternFill patternType="solid">
        <fgColor rgb="FFEFF6FF"/>
      </patternFill>
    </fill>
    <fill>
      <patternFill patternType="solid">
        <fgColor rgb="FF172554"/>
      </patternFill>
    </fill>
    <fill>
      <patternFill patternType="solid">
        <fgColor rgb="FFEFF6FF"/>
      </patternFill>
    </fill>
    <fill>
      <patternFill patternType="solid">
        <fgColor rgb="FF172554"/>
      </patternFill>
    </fill>
    <fill>
      <patternFill patternType="solid">
        <fgColor rgb="FFEFF6FF"/>
      </patternFill>
    </fill>
    <fill>
      <patternFill patternType="solid">
        <fgColor rgb="FFF1F5F9"/>
      </patternFill>
    </fill>
    <fill>
      <patternFill patternType="solid">
        <fgColor rgb="FF244062"/>
      </patternFill>
    </fill>
    <fill>
      <patternFill patternType="solid">
        <fgColor rgb="FFE7E6E6"/>
      </patternFill>
    </fill>
    <fill>
      <patternFill patternType="solid">
        <fgColor rgb="FF244062"/>
      </patternFill>
    </fill>
    <fill>
      <patternFill patternType="solid">
        <fgColor rgb="FF244062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FFF2CC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244062"/>
      </patternFill>
    </fill>
    <fill>
      <patternFill patternType="solid">
        <fgColor rgb="FF244062"/>
      </patternFill>
    </fill>
    <fill>
      <patternFill patternType="solid">
        <fgColor rgb="FFFFF2CC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244062"/>
      </patternFill>
    </fill>
    <fill>
      <patternFill patternType="solid">
        <fgColor rgb="FF17365D"/>
      </patternFill>
    </fill>
    <fill>
      <patternFill patternType="solid">
        <fgColor rgb="FF244062"/>
      </patternFill>
    </fill>
    <fill>
      <patternFill patternType="solid">
        <fgColor rgb="FF0B5394"/>
      </patternFill>
    </fill>
    <fill>
      <patternFill patternType="solid">
        <fgColor rgb="FF17365D"/>
      </patternFill>
    </fill>
    <fill>
      <patternFill patternType="solid">
        <fgColor rgb="FFF4CCCC"/>
      </patternFill>
    </fill>
    <fill>
      <patternFill patternType="solid">
        <fgColor rgb="FFD9EAD3"/>
      </patternFill>
    </fill>
    <fill>
      <patternFill patternType="solid">
        <fgColor rgb="FFCFE2F3"/>
      </patternFill>
    </fill>
    <fill>
      <patternFill patternType="solid">
        <fgColor rgb="FFFFF2CC"/>
      </patternFill>
    </fill>
    <fill>
      <patternFill patternType="solid">
        <fgColor rgb="FFD9D9D9"/>
      </patternFill>
    </fill>
    <fill>
      <patternFill patternType="solid">
        <fgColor rgb="FFD9D2E9"/>
      </patternFill>
    </fill>
    <fill>
      <patternFill patternType="solid">
        <fgColor rgb="FF9FC5E8"/>
      </patternFill>
    </fill>
    <fill>
      <patternFill patternType="solid">
        <fgColor rgb="FFF6B26B"/>
      </patternFill>
    </fill>
    <fill>
      <patternFill patternType="solid">
        <fgColor rgb="FF93C47D"/>
      </patternFill>
    </fill>
    <fill>
      <patternFill patternType="solid">
        <fgColor rgb="FFB4A7D6"/>
      </patternFill>
    </fill>
    <fill>
      <patternFill patternType="solid">
        <fgColor rgb="FFE06666"/>
      </patternFill>
    </fill>
    <fill>
      <patternFill patternType="solid">
        <fgColor rgb="FF76A5AF"/>
      </patternFill>
    </fill>
    <fill>
      <patternFill patternType="solid">
        <fgColor rgb="FFB45F06"/>
      </patternFill>
    </fill>
    <fill>
      <patternFill patternType="solid">
        <fgColor rgb="FFC27BA0"/>
      </patternFill>
    </fill>
    <fill>
      <patternFill patternType="solid">
        <fgColor rgb="FF76D7C4"/>
      </patternFill>
    </fill>
    <fill>
      <patternFill patternType="solid">
        <fgColor rgb="FF244062"/>
      </patternFill>
    </fill>
    <fill>
      <patternFill patternType="solid">
        <fgColor rgb="FFD9EAF7"/>
      </patternFill>
    </fill>
    <fill>
      <patternFill patternType="solid">
        <fgColor rgb="FF244062"/>
      </patternFill>
    </fill>
    <fill>
      <patternFill patternType="solid">
        <fgColor rgb="FF783F04"/>
      </patternFill>
    </fill>
    <fill>
      <patternFill patternType="solid">
        <fgColor rgb="FFFCE5CD"/>
      </patternFill>
    </fill>
    <fill>
      <patternFill patternType="solid">
        <fgColor rgb="FFFFF2CC"/>
      </patternFill>
    </fill>
    <fill>
      <patternFill patternType="solid">
        <fgColor rgb="FF244062"/>
      </patternFill>
    </fill>
    <fill>
      <patternFill patternType="solid">
        <fgColor rgb="FFFFF2CC"/>
      </patternFill>
    </fill>
    <fill>
      <patternFill patternType="solid">
        <fgColor rgb="FF244062"/>
      </patternFill>
    </fill>
    <fill>
      <patternFill patternType="solid">
        <fgColor rgb="FFFCE5CD"/>
      </patternFill>
    </fill>
    <fill>
      <patternFill patternType="solid">
        <fgColor rgb="FFFFF2CC"/>
      </patternFill>
    </fill>
    <fill>
      <patternFill patternType="solid">
        <fgColor rgb="FF244062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4" fillId="3" borderId="0" xfId="0" applyFont="1" applyFill="1" applyAlignment="1">
      <alignment horizontal="center" vertical="center" wrapText="1"/>
    </xf>
    <xf numFmtId="0" fontId="6" fillId="4" borderId="0" xfId="0" applyFont="1" applyFill="1"/>
    <xf numFmtId="0" fontId="5" fillId="5" borderId="0" xfId="0" applyFont="1" applyFill="1"/>
    <xf numFmtId="0" fontId="5" fillId="0" borderId="0" xfId="0" applyFont="1" applyAlignment="1">
      <alignment wrapText="1"/>
    </xf>
    <xf numFmtId="1" fontId="5" fillId="0" borderId="0" xfId="0" applyNumberFormat="1" applyFont="1"/>
    <xf numFmtId="0" fontId="4" fillId="7" borderId="0" xfId="0" applyFont="1" applyFill="1" applyAlignment="1">
      <alignment horizontal="center" vertical="center" wrapText="1"/>
    </xf>
    <xf numFmtId="0" fontId="6" fillId="8" borderId="0" xfId="0" applyFont="1" applyFill="1"/>
    <xf numFmtId="0" fontId="4" fillId="3" borderId="0" xfId="0" applyFont="1" applyFill="1" applyAlignment="1">
      <alignment horizontal="center" vertical="center"/>
    </xf>
    <xf numFmtId="0" fontId="5" fillId="11" borderId="0" xfId="0" applyFont="1" applyFill="1" applyAlignment="1">
      <alignment wrapText="1"/>
    </xf>
    <xf numFmtId="0" fontId="9" fillId="13" borderId="0" xfId="0" applyFont="1" applyFill="1"/>
    <xf numFmtId="0" fontId="4" fillId="14" borderId="0" xfId="0" applyFont="1" applyFill="1"/>
    <xf numFmtId="0" fontId="9" fillId="15" borderId="0" xfId="0" applyFont="1" applyFill="1" applyAlignment="1">
      <alignment horizontal="left"/>
    </xf>
    <xf numFmtId="0" fontId="10" fillId="16" borderId="0" xfId="0" applyFont="1" applyFill="1" applyAlignment="1">
      <alignment vertical="center" wrapText="1"/>
    </xf>
    <xf numFmtId="0" fontId="5" fillId="17" borderId="0" xfId="0" applyFont="1" applyFill="1" applyAlignment="1">
      <alignment vertical="center" wrapText="1"/>
    </xf>
    <xf numFmtId="0" fontId="2" fillId="20" borderId="0" xfId="0" applyFont="1" applyFill="1" applyAlignment="1">
      <alignment horizontal="center" vertical="center" wrapText="1"/>
    </xf>
    <xf numFmtId="0" fontId="5" fillId="16" borderId="0" xfId="0" applyFont="1" applyFill="1" applyAlignment="1">
      <alignment vertical="center" wrapText="1"/>
    </xf>
    <xf numFmtId="0" fontId="9" fillId="21" borderId="0" xfId="0" applyFont="1" applyFill="1"/>
    <xf numFmtId="0" fontId="5" fillId="22" borderId="0" xfId="0" applyFont="1" applyFill="1" applyAlignment="1">
      <alignment vertical="center" wrapText="1"/>
    </xf>
    <xf numFmtId="0" fontId="9" fillId="23" borderId="0" xfId="0" applyFont="1" applyFill="1"/>
    <xf numFmtId="0" fontId="5" fillId="24" borderId="0" xfId="0" applyFont="1" applyFill="1" applyAlignment="1">
      <alignment vertical="center" wrapText="1"/>
    </xf>
    <xf numFmtId="0" fontId="9" fillId="25" borderId="0" xfId="0" applyFont="1" applyFill="1" applyAlignment="1">
      <alignment horizontal="left" vertical="center"/>
    </xf>
    <xf numFmtId="0" fontId="4" fillId="26" borderId="0" xfId="0" applyFont="1" applyFill="1" applyAlignment="1">
      <alignment horizontal="center" vertical="center" wrapText="1"/>
    </xf>
    <xf numFmtId="0" fontId="5" fillId="26" borderId="0" xfId="0" applyFont="1" applyFill="1" applyAlignment="1">
      <alignment vertical="center" wrapText="1"/>
    </xf>
    <xf numFmtId="0" fontId="13" fillId="27" borderId="0" xfId="0" applyFont="1" applyFill="1" applyAlignment="1">
      <alignment wrapText="1"/>
    </xf>
    <xf numFmtId="0" fontId="9" fillId="2" borderId="0" xfId="0" applyFont="1" applyFill="1" applyAlignment="1">
      <alignment horizontal="left" vertical="center"/>
    </xf>
    <xf numFmtId="0" fontId="4" fillId="16" borderId="0" xfId="0" applyFont="1" applyFill="1" applyAlignment="1">
      <alignment horizontal="center" vertical="center" wrapText="1"/>
    </xf>
    <xf numFmtId="0" fontId="2" fillId="28" borderId="0" xfId="0" applyFont="1" applyFill="1"/>
    <xf numFmtId="0" fontId="4" fillId="28" borderId="0" xfId="0" applyFont="1" applyFill="1" applyAlignment="1">
      <alignment horizontal="center" vertical="center" wrapText="1"/>
    </xf>
    <xf numFmtId="0" fontId="18" fillId="29" borderId="0" xfId="0" applyFont="1" applyFill="1" applyAlignment="1">
      <alignment wrapText="1"/>
    </xf>
    <xf numFmtId="0" fontId="18" fillId="29" borderId="0" xfId="0" applyFont="1" applyFill="1"/>
    <xf numFmtId="0" fontId="18" fillId="29" borderId="0" xfId="0" applyFont="1" applyFill="1" applyAlignment="1">
      <alignment vertical="center" wrapText="1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10" borderId="0" xfId="0" applyFont="1" applyFill="1" applyAlignment="1">
      <alignment vertical="center" wrapText="1"/>
    </xf>
    <xf numFmtId="0" fontId="19" fillId="29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5" fillId="11" borderId="0" xfId="0" applyFont="1" applyFill="1" applyAlignment="1">
      <alignment vertical="center" wrapText="1"/>
    </xf>
    <xf numFmtId="0" fontId="18" fillId="29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20" fillId="29" borderId="0" xfId="0" applyFont="1" applyFill="1" applyAlignment="1">
      <alignment vertical="center" wrapText="1"/>
    </xf>
    <xf numFmtId="0" fontId="20" fillId="29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9" fillId="29" borderId="0" xfId="0" applyFont="1" applyFill="1" applyAlignment="1">
      <alignment vertical="center"/>
    </xf>
    <xf numFmtId="0" fontId="20" fillId="29" borderId="0" xfId="0" applyFont="1" applyFill="1" applyAlignment="1">
      <alignment horizontal="left" vertical="center" wrapText="1"/>
    </xf>
    <xf numFmtId="0" fontId="20" fillId="29" borderId="0" xfId="0" applyFont="1" applyFill="1" applyAlignment="1">
      <alignment horizontal="left" vertical="center"/>
    </xf>
    <xf numFmtId="0" fontId="5" fillId="16" borderId="0" xfId="0" applyFont="1" applyFill="1" applyAlignment="1">
      <alignment vertical="center"/>
    </xf>
    <xf numFmtId="0" fontId="5" fillId="17" borderId="0" xfId="0" applyFont="1" applyFill="1" applyAlignment="1">
      <alignment vertical="center"/>
    </xf>
    <xf numFmtId="0" fontId="2" fillId="30" borderId="0" xfId="0" applyFont="1" applyFill="1" applyAlignment="1">
      <alignment horizontal="center" wrapText="1"/>
    </xf>
    <xf numFmtId="0" fontId="4" fillId="31" borderId="0" xfId="0" applyFont="1" applyFill="1" applyAlignment="1">
      <alignment horizontal="center" vertical="center" wrapText="1"/>
    </xf>
    <xf numFmtId="0" fontId="2" fillId="31" borderId="0" xfId="0" applyFont="1" applyFill="1"/>
    <xf numFmtId="0" fontId="2" fillId="31" borderId="0" xfId="0" applyFont="1" applyFill="1" applyAlignment="1">
      <alignment wrapText="1"/>
    </xf>
    <xf numFmtId="0" fontId="0" fillId="34" borderId="0" xfId="0" applyFill="1"/>
    <xf numFmtId="0" fontId="3" fillId="33" borderId="0" xfId="0" applyFont="1" applyFill="1"/>
    <xf numFmtId="0" fontId="2" fillId="35" borderId="0" xfId="0" applyFont="1" applyFill="1" applyAlignment="1">
      <alignment horizontal="center" wrapText="1"/>
    </xf>
    <xf numFmtId="0" fontId="0" fillId="36" borderId="0" xfId="0" applyFill="1"/>
    <xf numFmtId="0" fontId="0" fillId="37" borderId="0" xfId="0" applyFill="1"/>
    <xf numFmtId="0" fontId="2" fillId="40" borderId="0" xfId="0" applyFont="1" applyFill="1"/>
    <xf numFmtId="0" fontId="2" fillId="40" borderId="0" xfId="0" applyFont="1" applyFill="1" applyAlignment="1">
      <alignment horizontal="center" wrapText="1"/>
    </xf>
    <xf numFmtId="0" fontId="16" fillId="39" borderId="0" xfId="0" applyFont="1" applyFill="1"/>
    <xf numFmtId="164" fontId="0" fillId="0" borderId="0" xfId="0" applyNumberFormat="1"/>
    <xf numFmtId="0" fontId="2" fillId="41" borderId="0" xfId="0" applyFont="1" applyFill="1"/>
    <xf numFmtId="0" fontId="2" fillId="41" borderId="0" xfId="0" applyFont="1" applyFill="1" applyAlignment="1">
      <alignment horizontal="center" wrapText="1"/>
    </xf>
    <xf numFmtId="0" fontId="0" fillId="42" borderId="0" xfId="0" applyFill="1"/>
    <xf numFmtId="0" fontId="2" fillId="43" borderId="0" xfId="0" applyFont="1" applyFill="1" applyAlignment="1">
      <alignment horizontal="center"/>
    </xf>
    <xf numFmtId="9" fontId="0" fillId="42" borderId="0" xfId="0" applyNumberFormat="1" applyFill="1"/>
    <xf numFmtId="9" fontId="0" fillId="0" borderId="0" xfId="0" applyNumberFormat="1"/>
    <xf numFmtId="0" fontId="16" fillId="44" borderId="0" xfId="0" applyFont="1" applyFill="1"/>
    <xf numFmtId="0" fontId="16" fillId="44" borderId="0" xfId="0" applyFont="1" applyFill="1" applyAlignment="1">
      <alignment horizontal="center" wrapText="1"/>
    </xf>
    <xf numFmtId="0" fontId="16" fillId="42" borderId="0" xfId="0" applyFont="1" applyFill="1"/>
    <xf numFmtId="0" fontId="2" fillId="42" borderId="0" xfId="0" applyFont="1" applyFill="1"/>
    <xf numFmtId="0" fontId="3" fillId="0" borderId="0" xfId="0" applyFont="1"/>
    <xf numFmtId="0" fontId="2" fillId="47" borderId="0" xfId="0" applyFont="1" applyFill="1" applyAlignment="1">
      <alignment horizontal="center" wrapText="1"/>
    </xf>
    <xf numFmtId="0" fontId="22" fillId="48" borderId="0" xfId="0" applyFont="1" applyFill="1" applyAlignment="1">
      <alignment horizontal="center"/>
    </xf>
    <xf numFmtId="0" fontId="4" fillId="51" borderId="0" xfId="0" applyFont="1" applyFill="1"/>
    <xf numFmtId="0" fontId="5" fillId="52" borderId="0" xfId="0" applyFont="1" applyFill="1"/>
    <xf numFmtId="0" fontId="5" fillId="53" borderId="0" xfId="0" applyFont="1" applyFill="1"/>
    <xf numFmtId="0" fontId="5" fillId="54" borderId="0" xfId="0" applyFont="1" applyFill="1"/>
    <xf numFmtId="0" fontId="5" fillId="55" borderId="0" xfId="0" applyFont="1" applyFill="1"/>
    <xf numFmtId="0" fontId="5" fillId="56" borderId="0" xfId="0" applyFont="1" applyFill="1"/>
    <xf numFmtId="0" fontId="5" fillId="57" borderId="0" xfId="0" applyFont="1" applyFill="1"/>
    <xf numFmtId="0" fontId="5" fillId="58" borderId="0" xfId="0" applyFont="1" applyFill="1"/>
    <xf numFmtId="0" fontId="5" fillId="59" borderId="0" xfId="0" applyFont="1" applyFill="1"/>
    <xf numFmtId="0" fontId="5" fillId="60" borderId="0" xfId="0" applyFont="1" applyFill="1"/>
    <xf numFmtId="0" fontId="5" fillId="61" borderId="0" xfId="0" applyFont="1" applyFill="1"/>
    <xf numFmtId="0" fontId="5" fillId="62" borderId="0" xfId="0" applyFont="1" applyFill="1"/>
    <xf numFmtId="0" fontId="5" fillId="63" borderId="0" xfId="0" applyFont="1" applyFill="1"/>
    <xf numFmtId="0" fontId="5" fillId="64" borderId="0" xfId="0" applyFont="1" applyFill="1"/>
    <xf numFmtId="0" fontId="5" fillId="65" borderId="0" xfId="0" applyFont="1" applyFill="1"/>
    <xf numFmtId="0" fontId="5" fillId="66" borderId="0" xfId="0" applyFont="1" applyFill="1"/>
    <xf numFmtId="0" fontId="4" fillId="67" borderId="0" xfId="0" applyFont="1" applyFill="1" applyAlignment="1">
      <alignment horizontal="center"/>
    </xf>
    <xf numFmtId="165" fontId="5" fillId="0" borderId="0" xfId="0" applyNumberFormat="1" applyFont="1"/>
    <xf numFmtId="0" fontId="2" fillId="69" borderId="0" xfId="0" applyFont="1" applyFill="1" applyAlignment="1">
      <alignment horizontal="center" wrapText="1"/>
    </xf>
    <xf numFmtId="0" fontId="24" fillId="71" borderId="0" xfId="0" applyFont="1" applyFill="1"/>
    <xf numFmtId="0" fontId="25" fillId="72" borderId="0" xfId="0" applyFont="1" applyFill="1" applyAlignment="1">
      <alignment vertical="top" wrapText="1"/>
    </xf>
    <xf numFmtId="0" fontId="2" fillId="73" borderId="0" xfId="0" applyFont="1" applyFill="1" applyAlignment="1">
      <alignment horizontal="center" wrapText="1"/>
    </xf>
    <xf numFmtId="0" fontId="25" fillId="74" borderId="0" xfId="0" applyFont="1" applyFill="1" applyAlignment="1">
      <alignment vertical="top" wrapText="1"/>
    </xf>
    <xf numFmtId="0" fontId="2" fillId="75" borderId="0" xfId="0" applyFont="1" applyFill="1" applyAlignment="1">
      <alignment horizontal="center" wrapText="1"/>
    </xf>
    <xf numFmtId="0" fontId="24" fillId="76" borderId="0" xfId="0" applyFont="1" applyFill="1"/>
    <xf numFmtId="0" fontId="26" fillId="76" borderId="0" xfId="0" applyFont="1" applyFill="1" applyAlignment="1">
      <alignment vertical="top" wrapText="1"/>
    </xf>
    <xf numFmtId="0" fontId="2" fillId="78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/>
    <xf numFmtId="0" fontId="7" fillId="6" borderId="0" xfId="0" applyFont="1" applyFill="1" applyAlignment="1">
      <alignment horizontal="left" vertical="center"/>
    </xf>
    <xf numFmtId="0" fontId="4" fillId="49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12" fillId="48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9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25" borderId="0" xfId="0" applyFont="1" applyFill="1" applyAlignment="1">
      <alignment horizontal="left" vertical="center"/>
    </xf>
    <xf numFmtId="0" fontId="9" fillId="12" borderId="0" xfId="0" applyFont="1" applyFill="1" applyAlignment="1">
      <alignment horizontal="left"/>
    </xf>
    <xf numFmtId="0" fontId="1" fillId="18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1" fillId="19" borderId="0" xfId="0" applyFont="1" applyFill="1" applyAlignment="1">
      <alignment wrapText="1"/>
    </xf>
    <xf numFmtId="0" fontId="14" fillId="32" borderId="0" xfId="0" applyFont="1" applyFill="1" applyAlignment="1">
      <alignment horizontal="center"/>
    </xf>
    <xf numFmtId="0" fontId="15" fillId="33" borderId="0" xfId="0" applyFont="1" applyFill="1" applyAlignment="1">
      <alignment horizontal="center"/>
    </xf>
    <xf numFmtId="0" fontId="22" fillId="48" borderId="0" xfId="0" applyFont="1" applyFill="1" applyAlignment="1">
      <alignment horizontal="center"/>
    </xf>
    <xf numFmtId="0" fontId="15" fillId="68" borderId="0" xfId="0" applyFont="1" applyFill="1" applyAlignment="1">
      <alignment horizontal="left" wrapText="1"/>
    </xf>
    <xf numFmtId="0" fontId="21" fillId="32" borderId="0" xfId="0" applyFont="1" applyFill="1" applyAlignment="1">
      <alignment horizontal="center"/>
    </xf>
    <xf numFmtId="0" fontId="23" fillId="67" borderId="0" xfId="0" applyFont="1" applyFill="1" applyAlignment="1">
      <alignment horizontal="center" vertical="center"/>
    </xf>
    <xf numFmtId="0" fontId="23" fillId="50" borderId="0" xfId="0" applyFont="1" applyFill="1" applyAlignment="1">
      <alignment horizontal="center"/>
    </xf>
    <xf numFmtId="0" fontId="23" fillId="70" borderId="0" xfId="0" applyFont="1" applyFill="1" applyAlignment="1">
      <alignment horizontal="center" vertical="center"/>
    </xf>
    <xf numFmtId="0" fontId="25" fillId="77" borderId="0" xfId="0" applyFont="1" applyFill="1" applyAlignment="1">
      <alignment vertical="top" wrapText="1"/>
    </xf>
    <xf numFmtId="0" fontId="27" fillId="77" borderId="0" xfId="0" applyFont="1" applyFill="1" applyAlignment="1">
      <alignment horizontal="center" vertical="top" wrapText="1"/>
    </xf>
    <xf numFmtId="0" fontId="14" fillId="38" borderId="0" xfId="0" applyFont="1" applyFill="1" applyAlignment="1">
      <alignment horizontal="center"/>
    </xf>
    <xf numFmtId="0" fontId="15" fillId="39" borderId="0" xfId="0" applyFont="1" applyFill="1" applyAlignment="1">
      <alignment horizontal="center" wrapText="1"/>
    </xf>
    <xf numFmtId="0" fontId="14" fillId="45" borderId="0" xfId="0" applyFont="1" applyFill="1" applyAlignment="1">
      <alignment horizontal="center" vertical="center"/>
    </xf>
    <xf numFmtId="0" fontId="15" fillId="46" borderId="0" xfId="0" applyFont="1" applyFill="1" applyAlignment="1">
      <alignment horizontal="center" vertical="center" wrapText="1"/>
    </xf>
    <xf numFmtId="0" fontId="17" fillId="79" borderId="0" xfId="0" applyFont="1" applyFill="1" applyAlignment="1">
      <alignment horizontal="center" vertical="center" wrapText="1"/>
    </xf>
  </cellXfs>
  <cellStyles count="1">
    <cellStyle name="Normal" xfId="0" builtinId="0"/>
  </cellStyles>
  <dxfs count="341">
    <dxf>
      <font>
        <b/>
      </font>
      <fill>
        <patternFill>
          <bgColor rgb="FFF4CCCC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D9EAD3"/>
        </patternFill>
      </fill>
    </dxf>
    <dxf>
      <font>
        <b/>
      </font>
      <fill>
        <patternFill>
          <bgColor rgb="FFB6D7A8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76D7C4"/>
        </patternFill>
      </fill>
    </dxf>
    <dxf>
      <font>
        <b/>
        <color rgb="FF000000"/>
      </font>
      <fill>
        <patternFill>
          <bgColor rgb="FFFFD966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76D7C4"/>
        </patternFill>
      </fill>
    </dxf>
    <dxf>
      <font>
        <b/>
        <color rgb="FF000000"/>
      </font>
      <fill>
        <patternFill>
          <bgColor rgb="FFFFD966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76D7C4"/>
        </patternFill>
      </fill>
    </dxf>
    <dxf>
      <font>
        <b/>
        <color rgb="FF000000"/>
      </font>
      <fill>
        <patternFill>
          <bgColor rgb="FFFFD966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CFE2F3"/>
        </patternFill>
      </fill>
    </dxf>
    <dxf>
      <font>
        <b/>
      </font>
      <fill>
        <patternFill>
          <bgColor rgb="FFD9EAD3"/>
        </patternFill>
      </fill>
    </dxf>
    <dxf>
      <font>
        <b/>
      </font>
      <fill>
        <patternFill>
          <bgColor rgb="FFF4CCCC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FCE5CD"/>
        </patternFill>
      </fill>
    </dxf>
    <dxf>
      <font>
        <b/>
        <color rgb="FF000000"/>
      </font>
      <fill>
        <patternFill>
          <bgColor rgb="FFB6D7A8"/>
        </patternFill>
      </fill>
    </dxf>
    <dxf>
      <font>
        <b/>
        <color rgb="FF000000"/>
      </font>
      <fill>
        <patternFill>
          <bgColor rgb="FFB6D7A8"/>
        </patternFill>
      </fill>
    </dxf>
    <dxf>
      <font>
        <b/>
        <color rgb="FF000000"/>
      </font>
      <fill>
        <patternFill>
          <bgColor rgb="FFB6D7A8"/>
        </patternFill>
      </fill>
    </dxf>
    <dxf>
      <font>
        <b/>
        <color rgb="FF000000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76D7C4"/>
        </patternFill>
      </fill>
    </dxf>
    <dxf>
      <font>
        <b/>
        <color rgb="FF000000"/>
      </font>
      <fill>
        <patternFill>
          <bgColor rgb="FFFFD966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</font>
      <fill>
        <patternFill>
          <bgColor rgb="FF76D7C4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ill>
        <patternFill>
          <bgColor rgb="FFDCFCE7"/>
        </patternFill>
      </fill>
    </dxf>
    <dxf>
      <font>
        <b/>
      </font>
      <fill>
        <patternFill>
          <bgColor rgb="FFFDE68A"/>
        </patternFill>
      </fill>
    </dxf>
    <dxf>
      <font>
        <color rgb="FF666666"/>
      </font>
      <fill>
        <patternFill>
          <bgColor rgb="FFE7E6E6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ont>
        <b/>
        <color rgb="FF92400E"/>
      </font>
      <fill>
        <patternFill>
          <bgColor rgb="FFFDE68A"/>
        </patternFill>
      </fill>
    </dxf>
    <dxf>
      <font>
        <b/>
        <color rgb="FF0B5394"/>
      </font>
      <fill>
        <patternFill>
          <bgColor rgb="FFCFE2F3"/>
        </patternFill>
      </fill>
    </dxf>
    <dxf>
      <font>
        <b/>
        <color rgb="FF134F5C"/>
      </font>
      <fill>
        <patternFill>
          <bgColor rgb="FFD0E0E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5B2C6F"/>
      </font>
      <fill>
        <patternFill>
          <bgColor rgb="FFEADCF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CE5CD"/>
        </patternFill>
      </fill>
    </dxf>
    <dxf>
      <font>
        <b/>
        <color rgb="FF17365D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E7E6E6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</font>
      <fill>
        <patternFill>
          <bgColor rgb="FFDCFCE7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B5394"/>
      </font>
      <fill>
        <patternFill>
          <bgColor rgb="FFCFE2F3"/>
        </patternFill>
      </fill>
    </dxf>
    <dxf>
      <font>
        <b/>
        <color rgb="FF134F5C"/>
      </font>
      <fill>
        <patternFill>
          <bgColor rgb="FFD0E0E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5B2C6F"/>
      </font>
      <fill>
        <patternFill>
          <bgColor rgb="FFEADCF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CE5CD"/>
        </patternFill>
      </fill>
    </dxf>
    <dxf>
      <font>
        <b/>
        <color rgb="FF17365D"/>
      </font>
      <fill>
        <patternFill>
          <bgColor rgb="FFD9EAF7"/>
        </patternFill>
      </fill>
    </dxf>
    <dxf>
      <font>
        <b/>
        <color rgb="FF0B5394"/>
      </font>
      <fill>
        <patternFill>
          <bgColor rgb="FFCFE2F3"/>
        </patternFill>
      </fill>
    </dxf>
    <dxf>
      <font>
        <b/>
        <color rgb="FF134F5C"/>
      </font>
      <fill>
        <patternFill>
          <bgColor rgb="FFD0E0E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5B2C6F"/>
      </font>
      <fill>
        <patternFill>
          <bgColor rgb="FFEADCF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CE5CD"/>
        </patternFill>
      </fill>
    </dxf>
    <dxf>
      <font>
        <b/>
        <color rgb="FF17365D"/>
      </font>
      <fill>
        <patternFill>
          <bgColor rgb="FFD9EAF7"/>
        </patternFill>
      </fill>
    </dxf>
    <dxf>
      <font>
        <b/>
        <color rgb="FF172554"/>
      </font>
      <fill>
        <patternFill>
          <bgColor rgb="FFEFF6FF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ill>
        <patternFill>
          <bgColor rgb="FFEFF6FF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B6D7A8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00000"/>
      </font>
      <fill>
        <patternFill>
          <bgColor rgb="FFB6D7A8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color rgb="FF444444"/>
      </font>
      <fill>
        <patternFill>
          <bgColor rgb="FFFFFFFF"/>
        </patternFill>
      </fill>
    </dxf>
    <dxf>
      <font>
        <b/>
        <color rgb="FF674EA7"/>
      </font>
      <fill>
        <patternFill>
          <bgColor rgb="FFD9D2E9"/>
        </patternFill>
      </fill>
    </dxf>
    <dxf>
      <font>
        <i/>
        <color rgb="FF7F7F7F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E7E6E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color rgb="FF666666"/>
      </font>
      <fill>
        <patternFill>
          <bgColor rgb="FFE7E6E6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color rgb="FF666666"/>
      </font>
      <fill>
        <patternFill>
          <bgColor rgb="FFE7E6E6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color rgb="FFDC2626"/>
      </font>
      <fill>
        <patternFill>
          <bgColor rgb="FFFEE2E2"/>
        </patternFill>
      </fill>
    </dxf>
    <dxf>
      <fill>
        <patternFill>
          <bgColor rgb="FFDCFCE7"/>
        </patternFill>
      </fill>
    </dxf>
    <dxf>
      <font>
        <b/>
      </font>
      <fill>
        <patternFill>
          <bgColor rgb="FFFDE68A"/>
        </patternFill>
      </fill>
    </dxf>
    <dxf>
      <font>
        <color rgb="FFDC2626"/>
      </font>
      <fill>
        <patternFill>
          <bgColor rgb="FFFEE2E2"/>
        </patternFill>
      </fill>
    </dxf>
    <dxf>
      <font>
        <color rgb="FF475569"/>
      </font>
      <fill>
        <patternFill>
          <bgColor rgb="FFF1F5F9"/>
        </patternFill>
      </fill>
    </dxf>
    <dxf>
      <font>
        <color rgb="FF92400E"/>
      </font>
      <fill>
        <patternFill>
          <bgColor rgb="FFFEF3C7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000000"/>
      </font>
      <fill>
        <patternFill>
          <bgColor rgb="FFC27BA0"/>
        </patternFill>
      </fill>
    </dxf>
    <dxf>
      <font>
        <b/>
        <color rgb="FF000000"/>
      </font>
      <fill>
        <patternFill>
          <bgColor rgb="FFB45F06"/>
        </patternFill>
      </fill>
    </dxf>
    <dxf>
      <font>
        <b/>
        <color rgb="FF000000"/>
      </font>
      <fill>
        <patternFill>
          <bgColor rgb="FF76A5AF"/>
        </patternFill>
      </fill>
    </dxf>
    <dxf>
      <font>
        <b/>
        <color rgb="FF000000"/>
      </font>
      <fill>
        <patternFill>
          <bgColor rgb="FFE06666"/>
        </patternFill>
      </fill>
    </dxf>
    <dxf>
      <font>
        <b/>
        <color rgb="FF000000"/>
      </font>
      <fill>
        <patternFill>
          <bgColor rgb="FFB4A7D6"/>
        </patternFill>
      </fill>
    </dxf>
    <dxf>
      <font>
        <b/>
        <color rgb="FF000000"/>
      </font>
      <fill>
        <patternFill>
          <bgColor rgb="FF93C47D"/>
        </patternFill>
      </fill>
    </dxf>
    <dxf>
      <font>
        <b/>
        <color rgb="FF000000"/>
      </font>
      <fill>
        <patternFill>
          <bgColor rgb="FFF6B26B"/>
        </patternFill>
      </fill>
    </dxf>
    <dxf>
      <font>
        <b/>
        <color rgb="FF000000"/>
      </font>
      <fill>
        <patternFill>
          <bgColor rgb="FF9FC5E8"/>
        </patternFill>
      </fill>
    </dxf>
    <dxf>
      <font>
        <b/>
        <color rgb="FF0B5394"/>
      </font>
      <fill>
        <patternFill>
          <bgColor rgb="FFCFE2F3"/>
        </patternFill>
      </fill>
    </dxf>
    <dxf>
      <font>
        <b/>
        <color rgb="FF134F5C"/>
      </font>
      <fill>
        <patternFill>
          <bgColor rgb="FFD0E0E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5B2C6F"/>
      </font>
      <fill>
        <patternFill>
          <bgColor rgb="FFEADCF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CE5CD"/>
        </patternFill>
      </fill>
    </dxf>
    <dxf>
      <font>
        <b/>
        <color rgb="FF17365D"/>
      </font>
      <fill>
        <patternFill>
          <bgColor rgb="FFD9EAF7"/>
        </patternFill>
      </fill>
    </dxf>
    <dxf>
      <font>
        <b/>
        <color rgb="FF0B5394"/>
      </font>
      <fill>
        <patternFill>
          <bgColor rgb="FFCFE2F3"/>
        </patternFill>
      </fill>
    </dxf>
    <dxf>
      <font>
        <b/>
        <color rgb="FF134F5C"/>
      </font>
      <fill>
        <patternFill>
          <bgColor rgb="FFD0E0E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5B2C6F"/>
      </font>
      <fill>
        <patternFill>
          <bgColor rgb="FFEADCF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CE5CD"/>
        </patternFill>
      </fill>
    </dxf>
    <dxf>
      <font>
        <b/>
        <color rgb="FF17365D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ont>
        <color rgb="FF274E13"/>
      </font>
      <fill>
        <patternFill>
          <bgColor rgb="FFE2F0D9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color rgb="FF274E13"/>
      </font>
      <fill>
        <patternFill>
          <bgColor rgb="FFE2F0D9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color rgb="FF64748B"/>
      </font>
      <fill>
        <patternFill>
          <bgColor rgb="FFF1F5F9"/>
        </patternFill>
      </fill>
    </dxf>
    <dxf>
      <font>
        <b/>
        <color rgb="FF000000"/>
      </font>
      <fill>
        <patternFill>
          <bgColor rgb="FFD9EAF7"/>
        </patternFill>
      </fill>
    </dxf>
    <dxf>
      <font>
        <b/>
        <color rgb="FF000000"/>
      </font>
      <fill>
        <patternFill>
          <bgColor rgb="FFFFD966"/>
        </patternFill>
      </fill>
    </dxf>
    <dxf>
      <font>
        <color rgb="FF1F4E78"/>
      </font>
      <fill>
        <patternFill>
          <bgColor rgb="FFDDEBF7"/>
        </patternFill>
      </fill>
    </dxf>
    <dxf>
      <font>
        <b/>
        <color rgb="FF7F6000"/>
      </font>
      <fill>
        <patternFill>
          <bgColor rgb="FFFFE699"/>
        </patternFill>
      </fill>
    </dxf>
    <dxf>
      <font>
        <color rgb="FF1F4E78"/>
      </font>
      <fill>
        <patternFill>
          <bgColor rgb="FFDDEBF7"/>
        </patternFill>
      </fill>
    </dxf>
    <dxf>
      <font>
        <b/>
        <color rgb="FF7F6000"/>
      </font>
      <fill>
        <patternFill>
          <bgColor rgb="FFFFE699"/>
        </patternFill>
      </fill>
    </dxf>
    <dxf>
      <font>
        <b/>
        <color rgb="FF000000"/>
      </font>
      <fill>
        <patternFill>
          <bgColor rgb="FFD9D2E9"/>
        </patternFill>
      </fill>
    </dxf>
    <dxf>
      <font>
        <b/>
        <color rgb="FF000000"/>
      </font>
      <fill>
        <patternFill>
          <bgColor rgb="FFD9D9D9"/>
        </patternFill>
      </fill>
    </dxf>
    <dxf>
      <font>
        <b/>
        <color rgb="FF000000"/>
      </font>
      <fill>
        <patternFill>
          <bgColor rgb="FFFFF2CC"/>
        </patternFill>
      </fill>
    </dxf>
    <dxf>
      <font>
        <b/>
        <color rgb="FF000000"/>
      </font>
      <fill>
        <patternFill>
          <bgColor rgb="FFCFE2F3"/>
        </patternFill>
      </fill>
    </dxf>
    <dxf>
      <font>
        <b/>
        <color rgb="FF000000"/>
      </font>
      <fill>
        <patternFill>
          <bgColor rgb="FFD9EAD3"/>
        </patternFill>
      </fill>
    </dxf>
    <dxf>
      <font>
        <b/>
        <color rgb="FF000000"/>
      </font>
      <fill>
        <patternFill>
          <bgColor rgb="FFF4CCCC"/>
        </patternFill>
      </fill>
    </dxf>
    <dxf>
      <fill>
        <patternFill>
          <bgColor rgb="FFD9D2E9"/>
        </patternFill>
      </fill>
    </dxf>
    <dxf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CFE2F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workbookViewId="0">
      <selection sqref="A1:F1"/>
    </sheetView>
  </sheetViews>
  <sheetFormatPr defaultRowHeight="13.5"/>
  <cols>
    <col min="1" max="1" width="27" customWidth="1"/>
    <col min="2" max="2" width="18" customWidth="1"/>
    <col min="3" max="6" width="20" customWidth="1"/>
  </cols>
  <sheetData>
    <row r="1" spans="1:26" ht="17" customHeight="1">
      <c r="A1" s="104" t="s">
        <v>18</v>
      </c>
      <c r="B1" s="105"/>
      <c r="C1" s="105"/>
      <c r="D1" s="105"/>
      <c r="E1" s="105"/>
      <c r="F1" s="10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9">
      <c r="A3" s="3" t="s">
        <v>19</v>
      </c>
      <c r="B3" s="3" t="s">
        <v>20</v>
      </c>
      <c r="C3" s="2"/>
      <c r="D3" s="8" t="s">
        <v>21</v>
      </c>
      <c r="E3" s="8" t="s">
        <v>22</v>
      </c>
      <c r="F3" s="8" t="s">
        <v>23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9">
      <c r="A4" s="4" t="s">
        <v>24</v>
      </c>
      <c r="B4" s="5">
        <v>8</v>
      </c>
      <c r="C4" s="2"/>
      <c r="D4" s="9" t="s">
        <v>25</v>
      </c>
      <c r="E4" s="2">
        <v>2</v>
      </c>
      <c r="F4" s="2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9">
      <c r="A5" s="4" t="s">
        <v>26</v>
      </c>
      <c r="B5" s="5" t="s">
        <v>27</v>
      </c>
      <c r="C5" s="2"/>
      <c r="D5" s="9" t="s">
        <v>28</v>
      </c>
      <c r="E5" s="2">
        <v>5</v>
      </c>
      <c r="F5" s="2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9">
      <c r="A6" s="4" t="s">
        <v>29</v>
      </c>
      <c r="B6" s="5">
        <v>5</v>
      </c>
      <c r="C6" s="2"/>
      <c r="D6" s="9" t="s">
        <v>30</v>
      </c>
      <c r="E6" s="2">
        <v>5</v>
      </c>
      <c r="F6" s="2">
        <v>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9">
      <c r="A7" s="4" t="s">
        <v>31</v>
      </c>
      <c r="B7" s="5">
        <v>1</v>
      </c>
      <c r="C7" s="2"/>
      <c r="D7" s="9" t="s">
        <v>32</v>
      </c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9">
      <c r="A8" s="4" t="s">
        <v>33</v>
      </c>
      <c r="B8" s="5">
        <v>2</v>
      </c>
      <c r="C8" s="2"/>
      <c r="D8" s="9" t="s">
        <v>34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9">
      <c r="A9" s="4" t="s">
        <v>35</v>
      </c>
      <c r="B9" s="5">
        <v>2</v>
      </c>
      <c r="C9" s="2"/>
      <c r="D9" s="9" t="s">
        <v>36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9">
      <c r="A10" s="4" t="s">
        <v>37</v>
      </c>
      <c r="B10" s="5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9">
      <c r="A11" s="4" t="s">
        <v>38</v>
      </c>
      <c r="B11" s="5">
        <v>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9">
      <c r="A12" s="4" t="s">
        <v>39</v>
      </c>
      <c r="B12" s="5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9">
      <c r="A13" s="4" t="s">
        <v>40</v>
      </c>
      <c r="B13" s="5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9">
      <c r="A14" s="4" t="s">
        <v>41</v>
      </c>
      <c r="B14" s="5">
        <v>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9">
      <c r="A15" s="4" t="s">
        <v>42</v>
      </c>
      <c r="B15" s="5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9">
      <c r="A17" s="106" t="s">
        <v>43</v>
      </c>
      <c r="B17" s="106"/>
      <c r="C17" s="106"/>
      <c r="D17" s="106"/>
      <c r="E17" s="106"/>
      <c r="F17" s="10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9">
      <c r="A18" s="107" t="s">
        <v>44</v>
      </c>
      <c r="B18" s="107"/>
      <c r="C18" s="107"/>
      <c r="D18" s="107"/>
      <c r="E18" s="107"/>
      <c r="F18" s="10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9">
      <c r="A19" s="108" t="s">
        <v>45</v>
      </c>
      <c r="B19" s="108" t="s">
        <v>46</v>
      </c>
      <c r="C19" s="108" t="s">
        <v>47</v>
      </c>
      <c r="D19" s="108" t="s">
        <v>48</v>
      </c>
      <c r="E19" s="108" t="s">
        <v>49</v>
      </c>
      <c r="F19" s="108" t="s">
        <v>50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9">
      <c r="A20" s="108" t="s">
        <v>51</v>
      </c>
      <c r="B20" s="108" t="s">
        <v>52</v>
      </c>
      <c r="C20" s="108" t="s">
        <v>53</v>
      </c>
      <c r="D20" s="108" t="s">
        <v>54</v>
      </c>
      <c r="E20" s="108" t="s">
        <v>55</v>
      </c>
      <c r="F20" s="108" t="s">
        <v>56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>
      <c r="A21" s="6" t="s">
        <v>57</v>
      </c>
      <c r="B21" s="6" t="s">
        <v>58</v>
      </c>
      <c r="C21" s="6" t="s">
        <v>59</v>
      </c>
      <c r="D21" s="6" t="s">
        <v>60</v>
      </c>
      <c r="E21" s="6" t="s">
        <v>61</v>
      </c>
      <c r="F21" s="6" t="s">
        <v>62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>
      <c r="A24" s="109" t="s">
        <v>63</v>
      </c>
      <c r="B24" s="109"/>
      <c r="C24" s="109"/>
      <c r="D24" s="109"/>
      <c r="E24" s="109"/>
      <c r="F24" s="10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9">
      <c r="A25" s="2" t="s">
        <v>64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9">
      <c r="A27" s="2" t="s">
        <v>65</v>
      </c>
      <c r="B27" s="2" t="s">
        <v>66</v>
      </c>
      <c r="C27" s="2" t="s">
        <v>67</v>
      </c>
      <c r="D27" s="2" t="s">
        <v>68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9">
      <c r="A28" s="2" t="s">
        <v>69</v>
      </c>
      <c r="B28" s="2" t="s">
        <v>70</v>
      </c>
      <c r="C28" s="2" t="s">
        <v>71</v>
      </c>
      <c r="D28" s="2" t="s">
        <v>72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9">
      <c r="A29" s="2" t="s">
        <v>73</v>
      </c>
      <c r="B29" s="2" t="s">
        <v>74</v>
      </c>
      <c r="C29" s="2" t="s">
        <v>75</v>
      </c>
      <c r="D29" s="2" t="s">
        <v>72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9">
      <c r="A30" s="2" t="s">
        <v>76</v>
      </c>
      <c r="B30" s="2" t="s">
        <v>77</v>
      </c>
      <c r="C30" s="2" t="s">
        <v>78</v>
      </c>
      <c r="D30" s="2" t="s">
        <v>72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9">
      <c r="A31" s="2" t="s">
        <v>79</v>
      </c>
      <c r="B31" s="2" t="s">
        <v>80</v>
      </c>
      <c r="C31" s="2" t="s">
        <v>81</v>
      </c>
      <c r="D31" s="2" t="s">
        <v>82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9">
      <c r="A32" s="2" t="s">
        <v>83</v>
      </c>
      <c r="B32" s="2" t="s">
        <v>84</v>
      </c>
      <c r="C32" s="2" t="s">
        <v>85</v>
      </c>
      <c r="D32" s="2" t="s">
        <v>86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9">
      <c r="A33" s="2" t="s">
        <v>72</v>
      </c>
      <c r="B33" s="2" t="s">
        <v>87</v>
      </c>
      <c r="C33" s="2" t="s">
        <v>88</v>
      </c>
      <c r="D33" s="2" t="s">
        <v>89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9">
      <c r="A34" s="77" t="s">
        <v>90</v>
      </c>
      <c r="B34" s="77"/>
      <c r="C34" s="77"/>
      <c r="D34" s="77"/>
      <c r="E34" s="77"/>
      <c r="F34" s="7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9">
      <c r="A35" s="2" t="s">
        <v>21</v>
      </c>
      <c r="B35" s="2" t="s">
        <v>91</v>
      </c>
      <c r="C35" s="2"/>
      <c r="D35" s="2" t="s">
        <v>92</v>
      </c>
      <c r="E35" s="2" t="s">
        <v>93</v>
      </c>
      <c r="F35" s="2" t="s">
        <v>91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9">
      <c r="A36" s="78" t="s">
        <v>25</v>
      </c>
      <c r="B36" s="78" t="s">
        <v>94</v>
      </c>
      <c r="C36" s="2"/>
      <c r="D36" s="84" t="s">
        <v>1</v>
      </c>
      <c r="E36" s="84" t="s">
        <v>95</v>
      </c>
      <c r="F36" s="84" t="s">
        <v>96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9">
      <c r="A37" s="79" t="s">
        <v>28</v>
      </c>
      <c r="B37" s="79" t="s">
        <v>97</v>
      </c>
      <c r="C37" s="2"/>
      <c r="D37" s="85" t="s">
        <v>98</v>
      </c>
      <c r="E37" s="85" t="s">
        <v>95</v>
      </c>
      <c r="F37" s="85" t="s">
        <v>99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9">
      <c r="A38" s="80" t="s">
        <v>30</v>
      </c>
      <c r="B38" s="80" t="s">
        <v>100</v>
      </c>
      <c r="C38" s="2"/>
      <c r="D38" s="86" t="s">
        <v>101</v>
      </c>
      <c r="E38" s="86" t="s">
        <v>95</v>
      </c>
      <c r="F38" s="86" t="s">
        <v>102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9">
      <c r="A39" s="81" t="s">
        <v>32</v>
      </c>
      <c r="B39" s="81" t="s">
        <v>103</v>
      </c>
      <c r="C39" s="2"/>
      <c r="D39" s="87" t="s">
        <v>104</v>
      </c>
      <c r="E39" s="87" t="s">
        <v>95</v>
      </c>
      <c r="F39" s="87" t="s">
        <v>105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9">
      <c r="A40" s="82" t="s">
        <v>34</v>
      </c>
      <c r="B40" s="82" t="s">
        <v>106</v>
      </c>
      <c r="C40" s="2"/>
      <c r="D40" s="88" t="s">
        <v>107</v>
      </c>
      <c r="E40" s="88" t="s">
        <v>95</v>
      </c>
      <c r="F40" s="88" t="s">
        <v>108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9">
      <c r="A41" s="83" t="s">
        <v>36</v>
      </c>
      <c r="B41" s="83" t="s">
        <v>109</v>
      </c>
      <c r="C41" s="2"/>
      <c r="D41" s="89" t="s">
        <v>110</v>
      </c>
      <c r="E41" s="89" t="s">
        <v>95</v>
      </c>
      <c r="F41" s="89" t="s">
        <v>111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9">
      <c r="A42" s="2"/>
      <c r="B42" s="2"/>
      <c r="C42" s="2"/>
      <c r="D42" s="90" t="s">
        <v>3</v>
      </c>
      <c r="E42" s="90" t="s">
        <v>95</v>
      </c>
      <c r="F42" s="90" t="s">
        <v>112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9">
      <c r="A43" s="2"/>
      <c r="B43" s="2"/>
      <c r="C43" s="2"/>
      <c r="D43" s="91" t="s">
        <v>2</v>
      </c>
      <c r="E43" s="91" t="s">
        <v>95</v>
      </c>
      <c r="F43" s="91" t="s">
        <v>113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9">
      <c r="A44" s="2"/>
      <c r="B44" s="2"/>
      <c r="C44" s="2"/>
      <c r="D44" s="92" t="s">
        <v>114</v>
      </c>
      <c r="E44" s="92" t="s">
        <v>115</v>
      </c>
      <c r="F44" s="92" t="s">
        <v>116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</sheetData>
  <mergeCells count="6">
    <mergeCell ref="A24:F24"/>
    <mergeCell ref="A1:F1"/>
    <mergeCell ref="A17:F17"/>
    <mergeCell ref="A18:F18"/>
    <mergeCell ref="A19:F19"/>
    <mergeCell ref="A20:F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2"/>
  <sheetViews>
    <sheetView workbookViewId="0">
      <selection sqref="A1:O1"/>
    </sheetView>
  </sheetViews>
  <sheetFormatPr defaultRowHeight="13.5"/>
  <cols>
    <col min="1" max="1" width="13" customWidth="1"/>
    <col min="2" max="2" width="11" customWidth="1"/>
    <col min="3" max="3" width="16" customWidth="1"/>
    <col min="4" max="4" width="12" customWidth="1"/>
    <col min="5" max="5" width="18" customWidth="1"/>
    <col min="6" max="7" width="11" customWidth="1"/>
    <col min="8" max="8" width="14" customWidth="1"/>
    <col min="9" max="9" width="12" customWidth="1"/>
    <col min="10" max="10" width="9" customWidth="1"/>
    <col min="11" max="12" width="23" customWidth="1"/>
    <col min="13" max="14" width="11" customWidth="1"/>
    <col min="15" max="15" width="13" customWidth="1"/>
  </cols>
  <sheetData>
    <row r="1" spans="1:15" ht="14" customHeight="1">
      <c r="A1" s="128" t="s">
        <v>667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ht="13.9">
      <c r="A2" s="129" t="s">
        <v>668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4" spans="1:15" ht="41.65">
      <c r="A4" s="61" t="s">
        <v>95</v>
      </c>
      <c r="B4" s="61" t="s">
        <v>669</v>
      </c>
      <c r="C4" s="61" t="s">
        <v>670</v>
      </c>
      <c r="D4" s="61" t="s">
        <v>671</v>
      </c>
      <c r="E4" s="61" t="s">
        <v>672</v>
      </c>
      <c r="F4" s="61" t="s">
        <v>673</v>
      </c>
      <c r="G4" s="61" t="s">
        <v>674</v>
      </c>
      <c r="H4" s="61" t="s">
        <v>675</v>
      </c>
      <c r="I4" s="61" t="s">
        <v>676</v>
      </c>
      <c r="J4" s="61" t="s">
        <v>677</v>
      </c>
      <c r="K4" s="61" t="s">
        <v>678</v>
      </c>
      <c r="L4" s="61" t="s">
        <v>679</v>
      </c>
      <c r="M4" s="61" t="s">
        <v>680</v>
      </c>
      <c r="N4" s="61" t="s">
        <v>681</v>
      </c>
      <c r="O4" s="61" t="s">
        <v>682</v>
      </c>
    </row>
    <row r="5" spans="1:15">
      <c r="A5" t="s">
        <v>1</v>
      </c>
      <c r="B5">
        <f>COUNTIFS('Draft Tracker'!$D$4:$D$147,A5,'Draft Tracker'!$E$4:$E$147,"&lt;&gt;")</f>
        <v>0</v>
      </c>
      <c r="C5" t="str">
        <f>IF(B5=0,"",SUMIFS('Draft Tracker'!$I$4:$I$147,'Draft Tracker'!$D$4:$D$147,A5)/B5)</f>
        <v/>
      </c>
      <c r="D5" t="str">
        <f t="shared" ref="D5:D12" si="0">IF(B5=0,"",MAX(55,MIN(100,88+C5*3)))</f>
        <v/>
      </c>
      <c r="E5" t="str">
        <f>INDEX('Manager Profiles'!$N$5:$N$12,MATCH(A5,'Manager Profiles'!$A$5:$A$12,0))</f>
        <v>QB</v>
      </c>
      <c r="F5">
        <f>IF(B5=0,0,COUNTIFS('Draft Tracker'!$D$4:$D$147,A5,'Draft Tracker'!$F$4:$F$147,E5,'Draft Tracker'!$E$4:$E$147,"&lt;&gt;"))</f>
        <v>0</v>
      </c>
      <c r="G5" t="str">
        <f t="shared" ref="G5:G12" si="1">IF(B5=0,"",MIN(100,82+F5*9))</f>
        <v/>
      </c>
      <c r="H5" t="str">
        <f t="shared" ref="H5:H12" si="2">IF(B5=0,"",MIN(100,82+MIN(18,(--(M5&gt;0)+--(N5&gt;0)+--(O5&gt;0))*6)))</f>
        <v/>
      </c>
      <c r="I5" t="str">
        <f t="shared" ref="I5:I12" si="3">IF(B5=0,"",ROUND(D5*0.72+G5*0.18+H5*0.1,1))</f>
        <v/>
      </c>
      <c r="J5" t="str">
        <f t="shared" ref="J5:J12" si="4">IF(I5="","",IF(I5&gt;=94,"A",IF(I5&gt;=90,"A-",IF(I5&gt;=87,"B+",IF(I5&gt;=83,"B",IF(I5&gt;=80,"B-",IF(I5&gt;=77,"C+",IF(I5&gt;=73,"C",IF(I5&gt;=70,"C-",IF(I5&gt;=65,"D","F"))))))))))</f>
        <v/>
      </c>
      <c r="K5" t="str">
        <f>IF(B5=0,"",IFERROR(INDEX('Draft Tracker'!$E$4:$E$147,MATCH(1,('Draft Tracker'!$D$4:$D$147=A5)*('Draft Tracker'!$I$4:$I$147=_xludf.AGGREGATE(14,6,'Draft Tracker'!$I$4:$I$147/('Draft Tracker'!$D$4:$D$147=A5),1)),0)),""))</f>
        <v/>
      </c>
      <c r="L5" t="str">
        <f>IF(B5=0,"",IFERROR(INDEX('Draft Tracker'!$E$4:$E$147,MATCH(1,('Draft Tracker'!$D$4:$D$147=A5)*('Draft Tracker'!$I$4:$I$147=_xludf.AGGREGATE(15,6,'Draft Tracker'!$I$4:$I$147/('Draft Tracker'!$D$4:$D$147=A5),1)),0)),""))</f>
        <v/>
      </c>
      <c r="M5">
        <f>COUNTIFS('Draft Tracker'!$D$4:$D$147,A5,'Draft Tracker'!$F$4:$F$147,"QB",'Draft Tracker'!$E$4:$E$147,"&lt;&gt;")</f>
        <v>0</v>
      </c>
      <c r="N5">
        <f>COUNTIFS('Draft Tracker'!$D$4:$D$147,A5,'Draft Tracker'!$F$4:$F$147,"RB",'Draft Tracker'!$E$4:$E$147,"&lt;&gt;")</f>
        <v>0</v>
      </c>
      <c r="O5">
        <f>COUNTIFS('Draft Tracker'!$D$4:$D$147,A5,'Draft Tracker'!$F$4:$F$147,"WR",'Draft Tracker'!$E$4:$E$147,"&lt;&gt;")+COUNTIFS('Draft Tracker'!$D$4:$D$147,A5,'Draft Tracker'!$F$4:$F$147,"TE",'Draft Tracker'!$E$4:$E$147,"&lt;&gt;")</f>
        <v>0</v>
      </c>
    </row>
    <row r="6" spans="1:15">
      <c r="A6" t="s">
        <v>98</v>
      </c>
      <c r="B6">
        <f>COUNTIFS('Draft Tracker'!$D$4:$D$147,A6,'Draft Tracker'!$E$4:$E$147,"&lt;&gt;")</f>
        <v>0</v>
      </c>
      <c r="C6" t="str">
        <f>IF(B6=0,"",SUMIFS('Draft Tracker'!$I$4:$I$147,'Draft Tracker'!$D$4:$D$147,A6)/B6)</f>
        <v/>
      </c>
      <c r="D6" t="str">
        <f t="shared" si="0"/>
        <v/>
      </c>
      <c r="E6" t="str">
        <f>INDEX('Manager Profiles'!$N$5:$N$12,MATCH(A6,'Manager Profiles'!$A$5:$A$12,0))</f>
        <v>RB</v>
      </c>
      <c r="F6">
        <f>IF(B6=0,0,COUNTIFS('Draft Tracker'!$D$4:$D$147,A6,'Draft Tracker'!$F$4:$F$147,E6,'Draft Tracker'!$E$4:$E$147,"&lt;&gt;"))</f>
        <v>0</v>
      </c>
      <c r="G6" t="str">
        <f t="shared" si="1"/>
        <v/>
      </c>
      <c r="H6" t="str">
        <f t="shared" si="2"/>
        <v/>
      </c>
      <c r="I6" t="str">
        <f t="shared" si="3"/>
        <v/>
      </c>
      <c r="J6" t="str">
        <f t="shared" si="4"/>
        <v/>
      </c>
      <c r="K6" t="str">
        <f>IF(B6=0,"",IFERROR(INDEX('Draft Tracker'!$E$4:$E$147,MATCH(1,('Draft Tracker'!$D$4:$D$147=A6)*('Draft Tracker'!$I$4:$I$147=_xludf.AGGREGATE(14,6,'Draft Tracker'!$I$4:$I$147/('Draft Tracker'!$D$4:$D$147=A6),1)),0)),""))</f>
        <v/>
      </c>
      <c r="L6" t="str">
        <f>IF(B6=0,"",IFERROR(INDEX('Draft Tracker'!$E$4:$E$147,MATCH(1,('Draft Tracker'!$D$4:$D$147=A6)*('Draft Tracker'!$I$4:$I$147=_xludf.AGGREGATE(15,6,'Draft Tracker'!$I$4:$I$147/('Draft Tracker'!$D$4:$D$147=A6),1)),0)),""))</f>
        <v/>
      </c>
      <c r="M6">
        <f>COUNTIFS('Draft Tracker'!$D$4:$D$147,A6,'Draft Tracker'!$F$4:$F$147,"QB",'Draft Tracker'!$E$4:$E$147,"&lt;&gt;")</f>
        <v>0</v>
      </c>
      <c r="N6">
        <f>COUNTIFS('Draft Tracker'!$D$4:$D$147,A6,'Draft Tracker'!$F$4:$F$147,"RB",'Draft Tracker'!$E$4:$E$147,"&lt;&gt;")</f>
        <v>0</v>
      </c>
      <c r="O6">
        <f>COUNTIFS('Draft Tracker'!$D$4:$D$147,A6,'Draft Tracker'!$F$4:$F$147,"WR",'Draft Tracker'!$E$4:$E$147,"&lt;&gt;")+COUNTIFS('Draft Tracker'!$D$4:$D$147,A6,'Draft Tracker'!$F$4:$F$147,"TE",'Draft Tracker'!$E$4:$E$147,"&lt;&gt;")</f>
        <v>0</v>
      </c>
    </row>
    <row r="7" spans="1:15">
      <c r="A7" t="s">
        <v>101</v>
      </c>
      <c r="B7">
        <f>COUNTIFS('Draft Tracker'!$D$4:$D$147,A7,'Draft Tracker'!$E$4:$E$147,"&lt;&gt;")</f>
        <v>0</v>
      </c>
      <c r="C7" t="str">
        <f>IF(B7=0,"",SUMIFS('Draft Tracker'!$I$4:$I$147,'Draft Tracker'!$D$4:$D$147,A7)/B7)</f>
        <v/>
      </c>
      <c r="D7" t="str">
        <f t="shared" si="0"/>
        <v/>
      </c>
      <c r="E7" t="str">
        <f>INDEX('Manager Profiles'!$N$5:$N$12,MATCH(A7,'Manager Profiles'!$A$5:$A$12,0))</f>
        <v>RB</v>
      </c>
      <c r="F7">
        <f>IF(B7=0,0,COUNTIFS('Draft Tracker'!$D$4:$D$147,A7,'Draft Tracker'!$F$4:$F$147,E7,'Draft Tracker'!$E$4:$E$147,"&lt;&gt;"))</f>
        <v>0</v>
      </c>
      <c r="G7" t="str">
        <f t="shared" si="1"/>
        <v/>
      </c>
      <c r="H7" t="str">
        <f t="shared" si="2"/>
        <v/>
      </c>
      <c r="I7" t="str">
        <f t="shared" si="3"/>
        <v/>
      </c>
      <c r="J7" t="str">
        <f t="shared" si="4"/>
        <v/>
      </c>
      <c r="K7" t="str">
        <f>IF(B7=0,"",IFERROR(INDEX('Draft Tracker'!$E$4:$E$147,MATCH(1,('Draft Tracker'!$D$4:$D$147=A7)*('Draft Tracker'!$I$4:$I$147=_xludf.AGGREGATE(14,6,'Draft Tracker'!$I$4:$I$147/('Draft Tracker'!$D$4:$D$147=A7),1)),0)),""))</f>
        <v/>
      </c>
      <c r="L7" t="str">
        <f>IF(B7=0,"",IFERROR(INDEX('Draft Tracker'!$E$4:$E$147,MATCH(1,('Draft Tracker'!$D$4:$D$147=A7)*('Draft Tracker'!$I$4:$I$147=_xludf.AGGREGATE(15,6,'Draft Tracker'!$I$4:$I$147/('Draft Tracker'!$D$4:$D$147=A7),1)),0)),""))</f>
        <v/>
      </c>
      <c r="M7">
        <f>COUNTIFS('Draft Tracker'!$D$4:$D$147,A7,'Draft Tracker'!$F$4:$F$147,"QB",'Draft Tracker'!$E$4:$E$147,"&lt;&gt;")</f>
        <v>0</v>
      </c>
      <c r="N7">
        <f>COUNTIFS('Draft Tracker'!$D$4:$D$147,A7,'Draft Tracker'!$F$4:$F$147,"RB",'Draft Tracker'!$E$4:$E$147,"&lt;&gt;")</f>
        <v>0</v>
      </c>
      <c r="O7">
        <f>COUNTIFS('Draft Tracker'!$D$4:$D$147,A7,'Draft Tracker'!$F$4:$F$147,"WR",'Draft Tracker'!$E$4:$E$147,"&lt;&gt;")+COUNTIFS('Draft Tracker'!$D$4:$D$147,A7,'Draft Tracker'!$F$4:$F$147,"TE",'Draft Tracker'!$E$4:$E$147,"&lt;&gt;")</f>
        <v>0</v>
      </c>
    </row>
    <row r="8" spans="1:15">
      <c r="A8" t="s">
        <v>104</v>
      </c>
      <c r="B8">
        <f>COUNTIFS('Draft Tracker'!$D$4:$D$147,A8,'Draft Tracker'!$E$4:$E$147,"&lt;&gt;")</f>
        <v>0</v>
      </c>
      <c r="C8" t="str">
        <f>IF(B8=0,"",SUMIFS('Draft Tracker'!$I$4:$I$147,'Draft Tracker'!$D$4:$D$147,A8)/B8)</f>
        <v/>
      </c>
      <c r="D8" t="str">
        <f t="shared" si="0"/>
        <v/>
      </c>
      <c r="E8" t="str">
        <f>INDEX('Manager Profiles'!$N$5:$N$12,MATCH(A8,'Manager Profiles'!$A$5:$A$12,0))</f>
        <v>RB</v>
      </c>
      <c r="F8">
        <f>IF(B8=0,0,COUNTIFS('Draft Tracker'!$D$4:$D$147,A8,'Draft Tracker'!$F$4:$F$147,E8,'Draft Tracker'!$E$4:$E$147,"&lt;&gt;"))</f>
        <v>0</v>
      </c>
      <c r="G8" t="str">
        <f t="shared" si="1"/>
        <v/>
      </c>
      <c r="H8" t="str">
        <f t="shared" si="2"/>
        <v/>
      </c>
      <c r="I8" t="str">
        <f t="shared" si="3"/>
        <v/>
      </c>
      <c r="J8" t="str">
        <f t="shared" si="4"/>
        <v/>
      </c>
      <c r="K8" t="str">
        <f>IF(B8=0,"",IFERROR(INDEX('Draft Tracker'!$E$4:$E$147,MATCH(1,('Draft Tracker'!$D$4:$D$147=A8)*('Draft Tracker'!$I$4:$I$147=_xludf.AGGREGATE(14,6,'Draft Tracker'!$I$4:$I$147/('Draft Tracker'!$D$4:$D$147=A8),1)),0)),""))</f>
        <v/>
      </c>
      <c r="L8" t="str">
        <f>IF(B8=0,"",IFERROR(INDEX('Draft Tracker'!$E$4:$E$147,MATCH(1,('Draft Tracker'!$D$4:$D$147=A8)*('Draft Tracker'!$I$4:$I$147=_xludf.AGGREGATE(15,6,'Draft Tracker'!$I$4:$I$147/('Draft Tracker'!$D$4:$D$147=A8),1)),0)),""))</f>
        <v/>
      </c>
      <c r="M8">
        <f>COUNTIFS('Draft Tracker'!$D$4:$D$147,A8,'Draft Tracker'!$F$4:$F$147,"QB",'Draft Tracker'!$E$4:$E$147,"&lt;&gt;")</f>
        <v>0</v>
      </c>
      <c r="N8">
        <f>COUNTIFS('Draft Tracker'!$D$4:$D$147,A8,'Draft Tracker'!$F$4:$F$147,"RB",'Draft Tracker'!$E$4:$E$147,"&lt;&gt;")</f>
        <v>0</v>
      </c>
      <c r="O8">
        <f>COUNTIFS('Draft Tracker'!$D$4:$D$147,A8,'Draft Tracker'!$F$4:$F$147,"WR",'Draft Tracker'!$E$4:$E$147,"&lt;&gt;")+COUNTIFS('Draft Tracker'!$D$4:$D$147,A8,'Draft Tracker'!$F$4:$F$147,"TE",'Draft Tracker'!$E$4:$E$147,"&lt;&gt;")</f>
        <v>0</v>
      </c>
    </row>
    <row r="9" spans="1:15">
      <c r="A9" t="s">
        <v>107</v>
      </c>
      <c r="B9">
        <f>COUNTIFS('Draft Tracker'!$D$4:$D$147,A9,'Draft Tracker'!$E$4:$E$147,"&lt;&gt;")</f>
        <v>0</v>
      </c>
      <c r="C9" t="str">
        <f>IF(B9=0,"",SUMIFS('Draft Tracker'!$I$4:$I$147,'Draft Tracker'!$D$4:$D$147,A9)/B9)</f>
        <v/>
      </c>
      <c r="D9" t="str">
        <f t="shared" si="0"/>
        <v/>
      </c>
      <c r="E9" t="str">
        <f>INDEX('Manager Profiles'!$N$5:$N$12,MATCH(A9,'Manager Profiles'!$A$5:$A$12,0))</f>
        <v>RB</v>
      </c>
      <c r="F9">
        <f>IF(B9=0,0,COUNTIFS('Draft Tracker'!$D$4:$D$147,A9,'Draft Tracker'!$F$4:$F$147,E9,'Draft Tracker'!$E$4:$E$147,"&lt;&gt;"))</f>
        <v>0</v>
      </c>
      <c r="G9" t="str">
        <f t="shared" si="1"/>
        <v/>
      </c>
      <c r="H9" t="str">
        <f t="shared" si="2"/>
        <v/>
      </c>
      <c r="I9" t="str">
        <f t="shared" si="3"/>
        <v/>
      </c>
      <c r="J9" t="str">
        <f t="shared" si="4"/>
        <v/>
      </c>
      <c r="K9" t="str">
        <f>IF(B9=0,"",IFERROR(INDEX('Draft Tracker'!$E$4:$E$147,MATCH(1,('Draft Tracker'!$D$4:$D$147=A9)*('Draft Tracker'!$I$4:$I$147=_xludf.AGGREGATE(14,6,'Draft Tracker'!$I$4:$I$147/('Draft Tracker'!$D$4:$D$147=A9),1)),0)),""))</f>
        <v/>
      </c>
      <c r="L9" t="str">
        <f>IF(B9=0,"",IFERROR(INDEX('Draft Tracker'!$E$4:$E$147,MATCH(1,('Draft Tracker'!$D$4:$D$147=A9)*('Draft Tracker'!$I$4:$I$147=_xludf.AGGREGATE(15,6,'Draft Tracker'!$I$4:$I$147/('Draft Tracker'!$D$4:$D$147=A9),1)),0)),""))</f>
        <v/>
      </c>
      <c r="M9">
        <f>COUNTIFS('Draft Tracker'!$D$4:$D$147,A9,'Draft Tracker'!$F$4:$F$147,"QB",'Draft Tracker'!$E$4:$E$147,"&lt;&gt;")</f>
        <v>0</v>
      </c>
      <c r="N9">
        <f>COUNTIFS('Draft Tracker'!$D$4:$D$147,A9,'Draft Tracker'!$F$4:$F$147,"RB",'Draft Tracker'!$E$4:$E$147,"&lt;&gt;")</f>
        <v>0</v>
      </c>
      <c r="O9">
        <f>COUNTIFS('Draft Tracker'!$D$4:$D$147,A9,'Draft Tracker'!$F$4:$F$147,"WR",'Draft Tracker'!$E$4:$E$147,"&lt;&gt;")+COUNTIFS('Draft Tracker'!$D$4:$D$147,A9,'Draft Tracker'!$F$4:$F$147,"TE",'Draft Tracker'!$E$4:$E$147,"&lt;&gt;")</f>
        <v>0</v>
      </c>
    </row>
    <row r="10" spans="1:15">
      <c r="A10" t="s">
        <v>110</v>
      </c>
      <c r="B10">
        <f>COUNTIFS('Draft Tracker'!$D$4:$D$147,A10,'Draft Tracker'!$E$4:$E$147,"&lt;&gt;")</f>
        <v>0</v>
      </c>
      <c r="C10" t="str">
        <f>IF(B10=0,"",SUMIFS('Draft Tracker'!$I$4:$I$147,'Draft Tracker'!$D$4:$D$147,A10)/B10)</f>
        <v/>
      </c>
      <c r="D10" t="str">
        <f t="shared" si="0"/>
        <v/>
      </c>
      <c r="E10" t="str">
        <f>INDEX('Manager Profiles'!$N$5:$N$12,MATCH(A10,'Manager Profiles'!$A$5:$A$12,0))</f>
        <v>QB</v>
      </c>
      <c r="F10">
        <f>IF(B10=0,0,COUNTIFS('Draft Tracker'!$D$4:$D$147,A10,'Draft Tracker'!$F$4:$F$147,E10,'Draft Tracker'!$E$4:$E$147,"&lt;&gt;"))</f>
        <v>0</v>
      </c>
      <c r="G10" t="str">
        <f t="shared" si="1"/>
        <v/>
      </c>
      <c r="H10" t="str">
        <f t="shared" si="2"/>
        <v/>
      </c>
      <c r="I10" t="str">
        <f t="shared" si="3"/>
        <v/>
      </c>
      <c r="J10" t="str">
        <f t="shared" si="4"/>
        <v/>
      </c>
      <c r="K10" t="str">
        <f>IF(B10=0,"",IFERROR(INDEX('Draft Tracker'!$E$4:$E$147,MATCH(1,('Draft Tracker'!$D$4:$D$147=A10)*('Draft Tracker'!$I$4:$I$147=_xludf.AGGREGATE(14,6,'Draft Tracker'!$I$4:$I$147/('Draft Tracker'!$D$4:$D$147=A10),1)),0)),""))</f>
        <v/>
      </c>
      <c r="L10" t="str">
        <f>IF(B10=0,"",IFERROR(INDEX('Draft Tracker'!$E$4:$E$147,MATCH(1,('Draft Tracker'!$D$4:$D$147=A10)*('Draft Tracker'!$I$4:$I$147=_xludf.AGGREGATE(15,6,'Draft Tracker'!$I$4:$I$147/('Draft Tracker'!$D$4:$D$147=A10),1)),0)),""))</f>
        <v/>
      </c>
      <c r="M10">
        <f>COUNTIFS('Draft Tracker'!$D$4:$D$147,A10,'Draft Tracker'!$F$4:$F$147,"QB",'Draft Tracker'!$E$4:$E$147,"&lt;&gt;")</f>
        <v>0</v>
      </c>
      <c r="N10">
        <f>COUNTIFS('Draft Tracker'!$D$4:$D$147,A10,'Draft Tracker'!$F$4:$F$147,"RB",'Draft Tracker'!$E$4:$E$147,"&lt;&gt;")</f>
        <v>0</v>
      </c>
      <c r="O10">
        <f>COUNTIFS('Draft Tracker'!$D$4:$D$147,A10,'Draft Tracker'!$F$4:$F$147,"WR",'Draft Tracker'!$E$4:$E$147,"&lt;&gt;")+COUNTIFS('Draft Tracker'!$D$4:$D$147,A10,'Draft Tracker'!$F$4:$F$147,"TE",'Draft Tracker'!$E$4:$E$147,"&lt;&gt;")</f>
        <v>0</v>
      </c>
    </row>
    <row r="11" spans="1:15">
      <c r="A11" t="s">
        <v>3</v>
      </c>
      <c r="B11">
        <f>COUNTIFS('Draft Tracker'!$D$4:$D$147,A11,'Draft Tracker'!$E$4:$E$147,"&lt;&gt;")</f>
        <v>0</v>
      </c>
      <c r="C11" t="str">
        <f>IF(B11=0,"",SUMIFS('Draft Tracker'!$I$4:$I$147,'Draft Tracker'!$D$4:$D$147,A11)/B11)</f>
        <v/>
      </c>
      <c r="D11" t="str">
        <f t="shared" si="0"/>
        <v/>
      </c>
      <c r="E11" t="str">
        <f>INDEX('Manager Profiles'!$N$5:$N$12,MATCH(A11,'Manager Profiles'!$A$5:$A$12,0))</f>
        <v>WR</v>
      </c>
      <c r="F11">
        <f>IF(B11=0,0,COUNTIFS('Draft Tracker'!$D$4:$D$147,A11,'Draft Tracker'!$F$4:$F$147,E11,'Draft Tracker'!$E$4:$E$147,"&lt;&gt;"))</f>
        <v>0</v>
      </c>
      <c r="G11" t="str">
        <f t="shared" si="1"/>
        <v/>
      </c>
      <c r="H11" t="str">
        <f t="shared" si="2"/>
        <v/>
      </c>
      <c r="I11" t="str">
        <f t="shared" si="3"/>
        <v/>
      </c>
      <c r="J11" t="str">
        <f t="shared" si="4"/>
        <v/>
      </c>
      <c r="K11" t="str">
        <f>IF(B11=0,"",IFERROR(INDEX('Draft Tracker'!$E$4:$E$147,MATCH(1,('Draft Tracker'!$D$4:$D$147=A11)*('Draft Tracker'!$I$4:$I$147=_xludf.AGGREGATE(14,6,'Draft Tracker'!$I$4:$I$147/('Draft Tracker'!$D$4:$D$147=A11),1)),0)),""))</f>
        <v/>
      </c>
      <c r="L11" t="str">
        <f>IF(B11=0,"",IFERROR(INDEX('Draft Tracker'!$E$4:$E$147,MATCH(1,('Draft Tracker'!$D$4:$D$147=A11)*('Draft Tracker'!$I$4:$I$147=_xludf.AGGREGATE(15,6,'Draft Tracker'!$I$4:$I$147/('Draft Tracker'!$D$4:$D$147=A11),1)),0)),""))</f>
        <v/>
      </c>
      <c r="M11">
        <f>COUNTIFS('Draft Tracker'!$D$4:$D$147,A11,'Draft Tracker'!$F$4:$F$147,"QB",'Draft Tracker'!$E$4:$E$147,"&lt;&gt;")</f>
        <v>0</v>
      </c>
      <c r="N11">
        <f>COUNTIFS('Draft Tracker'!$D$4:$D$147,A11,'Draft Tracker'!$F$4:$F$147,"RB",'Draft Tracker'!$E$4:$E$147,"&lt;&gt;")</f>
        <v>0</v>
      </c>
      <c r="O11">
        <f>COUNTIFS('Draft Tracker'!$D$4:$D$147,A11,'Draft Tracker'!$F$4:$F$147,"WR",'Draft Tracker'!$E$4:$E$147,"&lt;&gt;")+COUNTIFS('Draft Tracker'!$D$4:$D$147,A11,'Draft Tracker'!$F$4:$F$147,"TE",'Draft Tracker'!$E$4:$E$147,"&lt;&gt;")</f>
        <v>0</v>
      </c>
    </row>
    <row r="12" spans="1:15">
      <c r="A12" t="s">
        <v>2</v>
      </c>
      <c r="B12">
        <f>COUNTIFS('Draft Tracker'!$D$4:$D$147,A12,'Draft Tracker'!$E$4:$E$147,"&lt;&gt;")</f>
        <v>0</v>
      </c>
      <c r="C12" t="str">
        <f>IF(B12=0,"",SUMIFS('Draft Tracker'!$I$4:$I$147,'Draft Tracker'!$D$4:$D$147,A12)/B12)</f>
        <v/>
      </c>
      <c r="D12" t="str">
        <f t="shared" si="0"/>
        <v/>
      </c>
      <c r="E12" t="str">
        <f>INDEX('Manager Profiles'!$N$5:$N$12,MATCH(A12,'Manager Profiles'!$A$5:$A$12,0))</f>
        <v>WR</v>
      </c>
      <c r="F12">
        <f>IF(B12=0,0,COUNTIFS('Draft Tracker'!$D$4:$D$147,A12,'Draft Tracker'!$F$4:$F$147,E12,'Draft Tracker'!$E$4:$E$147,"&lt;&gt;"))</f>
        <v>0</v>
      </c>
      <c r="G12" t="str">
        <f t="shared" si="1"/>
        <v/>
      </c>
      <c r="H12" t="str">
        <f t="shared" si="2"/>
        <v/>
      </c>
      <c r="I12" t="str">
        <f t="shared" si="3"/>
        <v/>
      </c>
      <c r="J12" t="str">
        <f t="shared" si="4"/>
        <v/>
      </c>
      <c r="K12" t="str">
        <f>IF(B12=0,"",IFERROR(INDEX('Draft Tracker'!$E$4:$E$147,MATCH(1,('Draft Tracker'!$D$4:$D$147=A12)*('Draft Tracker'!$I$4:$I$147=_xludf.AGGREGATE(14,6,'Draft Tracker'!$I$4:$I$147/('Draft Tracker'!$D$4:$D$147=A12),1)),0)),""))</f>
        <v/>
      </c>
      <c r="L12" t="str">
        <f>IF(B12=0,"",IFERROR(INDEX('Draft Tracker'!$E$4:$E$147,MATCH(1,('Draft Tracker'!$D$4:$D$147=A12)*('Draft Tracker'!$I$4:$I$147=_xludf.AGGREGATE(15,6,'Draft Tracker'!$I$4:$I$147/('Draft Tracker'!$D$4:$D$147=A12),1)),0)),""))</f>
        <v/>
      </c>
      <c r="M12">
        <f>COUNTIFS('Draft Tracker'!$D$4:$D$147,A12,'Draft Tracker'!$F$4:$F$147,"QB",'Draft Tracker'!$E$4:$E$147,"&lt;&gt;")</f>
        <v>0</v>
      </c>
      <c r="N12">
        <f>COUNTIFS('Draft Tracker'!$D$4:$D$147,A12,'Draft Tracker'!$F$4:$F$147,"RB",'Draft Tracker'!$E$4:$E$147,"&lt;&gt;")</f>
        <v>0</v>
      </c>
      <c r="O12">
        <f>COUNTIFS('Draft Tracker'!$D$4:$D$147,A12,'Draft Tracker'!$F$4:$F$147,"WR",'Draft Tracker'!$E$4:$E$147,"&lt;&gt;")+COUNTIFS('Draft Tracker'!$D$4:$D$147,A12,'Draft Tracker'!$F$4:$F$147,"TE",'Draft Tracker'!$E$4:$E$147,"&lt;&gt;")</f>
        <v>0</v>
      </c>
    </row>
  </sheetData>
  <mergeCells count="2">
    <mergeCell ref="A1:O1"/>
    <mergeCell ref="A2:O2"/>
  </mergeCells>
  <conditionalFormatting sqref="A5:A12">
    <cfRule type="expression" dxfId="17" priority="2">
      <formula>A5="Noah"</formula>
    </cfRule>
    <cfRule type="expression" dxfId="16" priority="3">
      <formula>A5="Colby"</formula>
    </cfRule>
    <cfRule type="expression" dxfId="15" priority="4">
      <formula>A5="Adam"</formula>
    </cfRule>
    <cfRule type="expression" dxfId="14" priority="5">
      <formula>A5="Jacob"</formula>
    </cfRule>
    <cfRule type="expression" dxfId="13" priority="6">
      <formula>A5="Medhansh"</formula>
    </cfRule>
    <cfRule type="expression" dxfId="12" priority="7">
      <formula>A5="Luke"</formula>
    </cfRule>
    <cfRule type="expression" dxfId="11" priority="8">
      <formula>A5="Spohn"</formula>
    </cfRule>
    <cfRule type="expression" dxfId="10" priority="9">
      <formula>A5="Nolen"</formula>
    </cfRule>
  </conditionalFormatting>
  <conditionalFormatting sqref="E5:E12">
    <cfRule type="expression" dxfId="9" priority="10">
      <formula>E5="QB"</formula>
    </cfRule>
    <cfRule type="expression" dxfId="8" priority="11">
      <formula>E5="RB"</formula>
    </cfRule>
    <cfRule type="expression" dxfId="7" priority="12">
      <formula>E5="WR"</formula>
    </cfRule>
    <cfRule type="expression" dxfId="6" priority="13">
      <formula>E5="TE"</formula>
    </cfRule>
    <cfRule type="expression" dxfId="5" priority="14">
      <formula>E5="K"</formula>
    </cfRule>
    <cfRule type="expression" dxfId="4" priority="15">
      <formula>E5="DST"</formula>
    </cfRule>
  </conditionalFormatting>
  <conditionalFormatting sqref="I5:I12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J5:J12">
    <cfRule type="expression" dxfId="3" priority="16">
      <formula>LEFT(J5,1)="A"</formula>
    </cfRule>
    <cfRule type="expression" dxfId="2" priority="17">
      <formula>LEFT(J5,1)="B"</formula>
    </cfRule>
    <cfRule type="expression" dxfId="1" priority="18">
      <formula>LEFT(J5,1)="C"</formula>
    </cfRule>
    <cfRule type="expression" dxfId="0" priority="19">
      <formula>OR(LEFT(J5,1)="D",J5="F")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0"/>
  <sheetViews>
    <sheetView topLeftCell="Q1" workbookViewId="0">
      <selection activeCell="S36" sqref="S36"/>
    </sheetView>
  </sheetViews>
  <sheetFormatPr defaultRowHeight="13.5"/>
  <cols>
    <col min="1" max="1" width="12" customWidth="1"/>
    <col min="2" max="2" width="23" customWidth="1"/>
    <col min="3" max="3" width="8" customWidth="1"/>
    <col min="4" max="5" width="10" customWidth="1"/>
    <col min="6" max="6" width="8" customWidth="1"/>
    <col min="7" max="7" width="9" customWidth="1"/>
    <col min="8" max="8" width="10" customWidth="1"/>
    <col min="9" max="9" width="13" customWidth="1"/>
    <col min="10" max="11" width="10" customWidth="1"/>
    <col min="12" max="12" width="15" customWidth="1"/>
    <col min="13" max="13" width="14" customWidth="1"/>
    <col min="14" max="14" width="28" customWidth="1"/>
    <col min="15" max="15" width="14" customWidth="1"/>
    <col min="16" max="16" width="11" customWidth="1"/>
    <col min="17" max="17" width="18" customWidth="1"/>
    <col min="18" max="18" width="14" customWidth="1"/>
    <col min="19" max="19" width="12" customWidth="1"/>
    <col min="20" max="20" width="34" customWidth="1"/>
    <col min="21" max="21" width="15" customWidth="1"/>
    <col min="22" max="22" width="12" customWidth="1"/>
    <col min="23" max="23" width="17" customWidth="1"/>
    <col min="24" max="24" width="14" customWidth="1"/>
    <col min="25" max="25" width="20" customWidth="1"/>
  </cols>
  <sheetData>
    <row r="1" spans="1:26" ht="14" customHeight="1">
      <c r="A1" s="104" t="s">
        <v>117</v>
      </c>
      <c r="B1" s="105"/>
      <c r="C1" s="105"/>
      <c r="D1" s="105"/>
      <c r="E1" s="105"/>
      <c r="F1" s="105"/>
      <c r="G1" s="105"/>
      <c r="H1" s="105"/>
      <c r="I1" s="105"/>
      <c r="J1" s="110"/>
      <c r="K1" s="110"/>
      <c r="L1" s="110"/>
      <c r="M1" s="105"/>
      <c r="N1" s="105"/>
      <c r="O1" s="105"/>
      <c r="P1" s="110"/>
      <c r="Q1" s="111" t="s">
        <v>118</v>
      </c>
      <c r="R1" s="112"/>
      <c r="S1" s="111"/>
      <c r="T1" s="113" t="s">
        <v>119</v>
      </c>
      <c r="U1" s="113"/>
      <c r="V1" s="113"/>
      <c r="W1" s="113"/>
      <c r="X1" s="113"/>
      <c r="Y1" s="23"/>
      <c r="Z1" s="2"/>
    </row>
    <row r="2" spans="1:26" ht="13.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05" customHeight="1">
      <c r="A3" s="3" t="s">
        <v>120</v>
      </c>
      <c r="B3" s="3" t="s">
        <v>121</v>
      </c>
      <c r="C3" s="3" t="s">
        <v>122</v>
      </c>
      <c r="D3" s="3" t="s">
        <v>123</v>
      </c>
      <c r="E3" s="3" t="s">
        <v>124</v>
      </c>
      <c r="F3" s="3" t="s">
        <v>125</v>
      </c>
      <c r="G3" s="3" t="s">
        <v>126</v>
      </c>
      <c r="H3" s="3" t="s">
        <v>127</v>
      </c>
      <c r="I3" s="3" t="s">
        <v>128</v>
      </c>
      <c r="J3" s="3" t="s">
        <v>129</v>
      </c>
      <c r="K3" s="3" t="s">
        <v>130</v>
      </c>
      <c r="L3" s="3" t="s">
        <v>131</v>
      </c>
      <c r="M3" s="3" t="s">
        <v>132</v>
      </c>
      <c r="N3" s="3" t="s">
        <v>133</v>
      </c>
      <c r="O3" s="3" t="s">
        <v>134</v>
      </c>
      <c r="P3" s="3" t="s">
        <v>135</v>
      </c>
      <c r="Q3" s="3" t="s">
        <v>136</v>
      </c>
      <c r="R3" s="52" t="s">
        <v>137</v>
      </c>
      <c r="S3" s="52" t="s">
        <v>138</v>
      </c>
      <c r="T3" s="28" t="s">
        <v>139</v>
      </c>
      <c r="U3" s="30" t="s">
        <v>140</v>
      </c>
      <c r="V3" s="30" t="s">
        <v>141</v>
      </c>
      <c r="W3" s="30" t="s">
        <v>142</v>
      </c>
      <c r="X3" s="30" t="s">
        <v>143</v>
      </c>
      <c r="Y3" s="24"/>
      <c r="Z3" s="2"/>
    </row>
    <row r="4" spans="1:26" ht="12" customHeight="1">
      <c r="A4" s="34">
        <v>1</v>
      </c>
      <c r="B4" s="35" t="s">
        <v>144</v>
      </c>
      <c r="C4" s="35" t="s">
        <v>28</v>
      </c>
      <c r="D4" s="35">
        <v>2</v>
      </c>
      <c r="E4" s="34">
        <v>1</v>
      </c>
      <c r="F4" s="34">
        <v>1</v>
      </c>
      <c r="G4" s="34">
        <v>3</v>
      </c>
      <c r="H4" s="34">
        <v>2</v>
      </c>
      <c r="I4" s="34">
        <f t="shared" ref="I4:I35" si="0">G4-H4</f>
        <v>1</v>
      </c>
      <c r="J4" s="35" t="s">
        <v>0</v>
      </c>
      <c r="K4" s="35" t="str">
        <f>IF(COUNTIF('Draft Tracker'!$E$4:$E$147,B4)&gt;0,"Yes","No")</f>
        <v>No</v>
      </c>
      <c r="L4" s="35" t="s">
        <v>107</v>
      </c>
      <c r="M4" s="35" t="s">
        <v>145</v>
      </c>
      <c r="N4" s="35" t="s">
        <v>146</v>
      </c>
      <c r="O4" s="35">
        <f t="shared" ref="O4:O35" si="1">IF(AND(J4="No",K4="No",H4&lt;&gt;""),H4,9999)</f>
        <v>9999</v>
      </c>
      <c r="P4" s="35" t="s">
        <v>147</v>
      </c>
      <c r="Q4" s="36" t="str">
        <f t="shared" ref="Q4:Q35" si="2">IF(J4="Yes","",COUNTIFS($J$4:$J$163,"No",$H$4:$H$163,"&lt;"&amp;H4)+1)</f>
        <v/>
      </c>
      <c r="R4" s="33" t="s">
        <v>148</v>
      </c>
      <c r="S4" s="33" t="s">
        <v>149</v>
      </c>
      <c r="T4" s="18" t="s">
        <v>150</v>
      </c>
      <c r="U4" s="18">
        <v>9993</v>
      </c>
      <c r="V4" s="18">
        <v>1</v>
      </c>
      <c r="W4" s="18" t="s">
        <v>151</v>
      </c>
      <c r="X4" s="18" t="s">
        <v>152</v>
      </c>
      <c r="Y4" s="25"/>
      <c r="Z4" s="2"/>
    </row>
    <row r="5" spans="1:26" ht="12" customHeight="1">
      <c r="A5" s="34">
        <v>2</v>
      </c>
      <c r="B5" s="35" t="s">
        <v>153</v>
      </c>
      <c r="C5" s="35" t="s">
        <v>30</v>
      </c>
      <c r="D5" s="35">
        <v>1</v>
      </c>
      <c r="E5" s="34">
        <v>1</v>
      </c>
      <c r="F5" s="34">
        <v>1</v>
      </c>
      <c r="G5" s="34">
        <v>4</v>
      </c>
      <c r="H5" s="34">
        <v>3</v>
      </c>
      <c r="I5" s="34">
        <f t="shared" si="0"/>
        <v>1</v>
      </c>
      <c r="J5" s="35" t="s">
        <v>0</v>
      </c>
      <c r="K5" s="35" t="str">
        <f>IF(COUNTIF('Draft Tracker'!$E$4:$E$147,B5)&gt;0,"Yes","No")</f>
        <v>No</v>
      </c>
      <c r="L5" s="35" t="s">
        <v>98</v>
      </c>
      <c r="M5" s="35" t="s">
        <v>145</v>
      </c>
      <c r="N5" s="35" t="s">
        <v>146</v>
      </c>
      <c r="O5" s="35">
        <f t="shared" si="1"/>
        <v>9999</v>
      </c>
      <c r="P5" s="35" t="s">
        <v>147</v>
      </c>
      <c r="Q5" s="36" t="str">
        <f t="shared" si="2"/>
        <v/>
      </c>
      <c r="R5" s="33" t="s">
        <v>154</v>
      </c>
      <c r="S5" s="33" t="s">
        <v>149</v>
      </c>
      <c r="T5" s="18"/>
      <c r="U5" s="18">
        <v>9992</v>
      </c>
      <c r="V5" s="18">
        <v>1</v>
      </c>
      <c r="W5" s="18" t="s">
        <v>151</v>
      </c>
      <c r="X5" s="18" t="s">
        <v>152</v>
      </c>
      <c r="Y5" s="25"/>
      <c r="Z5" s="2"/>
    </row>
    <row r="6" spans="1:26" ht="12" customHeight="1">
      <c r="A6" s="34">
        <v>3</v>
      </c>
      <c r="B6" s="35" t="s">
        <v>155</v>
      </c>
      <c r="C6" s="35" t="s">
        <v>28</v>
      </c>
      <c r="D6" s="35">
        <v>1</v>
      </c>
      <c r="E6" s="34">
        <v>2</v>
      </c>
      <c r="F6" s="34">
        <v>1</v>
      </c>
      <c r="G6" s="34">
        <v>1</v>
      </c>
      <c r="H6" s="34">
        <v>1</v>
      </c>
      <c r="I6" s="34">
        <f t="shared" si="0"/>
        <v>0</v>
      </c>
      <c r="J6" s="35" t="s">
        <v>0</v>
      </c>
      <c r="K6" s="35" t="str">
        <f>IF(COUNTIF('Draft Tracker'!$E$4:$E$147,B6)&gt;0,"Yes","No")</f>
        <v>No</v>
      </c>
      <c r="L6" s="35" t="s">
        <v>1</v>
      </c>
      <c r="M6" s="35" t="s">
        <v>145</v>
      </c>
      <c r="N6" s="35" t="s">
        <v>146</v>
      </c>
      <c r="O6" s="35">
        <f t="shared" si="1"/>
        <v>9999</v>
      </c>
      <c r="P6" s="35" t="s">
        <v>147</v>
      </c>
      <c r="Q6" s="36" t="str">
        <f t="shared" si="2"/>
        <v/>
      </c>
      <c r="R6" s="33" t="s">
        <v>148</v>
      </c>
      <c r="S6" s="33" t="s">
        <v>149</v>
      </c>
      <c r="T6" s="36"/>
      <c r="U6" s="36">
        <v>9997</v>
      </c>
      <c r="V6" s="36">
        <v>1</v>
      </c>
      <c r="W6" s="36" t="s">
        <v>151</v>
      </c>
      <c r="X6" s="36" t="s">
        <v>152</v>
      </c>
      <c r="Y6" s="6"/>
      <c r="Z6" s="2"/>
    </row>
    <row r="7" spans="1:26" ht="12" customHeight="1">
      <c r="A7" s="34">
        <v>4</v>
      </c>
      <c r="B7" s="35" t="s">
        <v>13</v>
      </c>
      <c r="C7" s="35" t="s">
        <v>25</v>
      </c>
      <c r="D7" s="35">
        <v>1</v>
      </c>
      <c r="E7" s="34">
        <v>1</v>
      </c>
      <c r="F7" s="34">
        <v>1</v>
      </c>
      <c r="G7" s="34">
        <v>2</v>
      </c>
      <c r="H7" s="34">
        <v>6</v>
      </c>
      <c r="I7" s="34">
        <f t="shared" si="0"/>
        <v>-4</v>
      </c>
      <c r="J7" s="35" t="s">
        <v>0</v>
      </c>
      <c r="K7" s="35" t="str">
        <f>IF(COUNTIF('Draft Tracker'!$E$4:$E$147,B7)&gt;0,"Yes","No")</f>
        <v>No</v>
      </c>
      <c r="L7" s="35" t="s">
        <v>2</v>
      </c>
      <c r="M7" s="35" t="s">
        <v>145</v>
      </c>
      <c r="N7" s="35" t="s">
        <v>146</v>
      </c>
      <c r="O7" s="35">
        <f t="shared" si="1"/>
        <v>9999</v>
      </c>
      <c r="P7" s="35" t="s">
        <v>147</v>
      </c>
      <c r="Q7" s="37" t="str">
        <f t="shared" si="2"/>
        <v/>
      </c>
      <c r="R7" s="38" t="s">
        <v>154</v>
      </c>
      <c r="S7" s="38" t="s">
        <v>149</v>
      </c>
      <c r="T7" s="39"/>
      <c r="U7" s="39">
        <v>9996</v>
      </c>
      <c r="V7" s="39">
        <v>1</v>
      </c>
      <c r="W7" s="39" t="s">
        <v>156</v>
      </c>
      <c r="X7" s="39" t="s">
        <v>152</v>
      </c>
      <c r="Y7" s="26"/>
      <c r="Z7" s="2"/>
    </row>
    <row r="8" spans="1:26" ht="12" customHeight="1">
      <c r="A8" s="34">
        <v>5</v>
      </c>
      <c r="B8" s="35" t="s">
        <v>157</v>
      </c>
      <c r="C8" s="35" t="s">
        <v>30</v>
      </c>
      <c r="D8" s="35">
        <v>2</v>
      </c>
      <c r="E8" s="34">
        <v>2</v>
      </c>
      <c r="F8" s="34">
        <v>1</v>
      </c>
      <c r="G8" s="34">
        <v>5</v>
      </c>
      <c r="H8" s="34">
        <v>4</v>
      </c>
      <c r="I8" s="34">
        <f t="shared" si="0"/>
        <v>1</v>
      </c>
      <c r="J8" s="35" t="s">
        <v>0</v>
      </c>
      <c r="K8" s="35" t="str">
        <f>IF(COUNTIF('Draft Tracker'!$E$4:$E$147,B8)&gt;0,"Yes","No")</f>
        <v>No</v>
      </c>
      <c r="L8" s="35" t="s">
        <v>1</v>
      </c>
      <c r="M8" s="35" t="s">
        <v>145</v>
      </c>
      <c r="N8" s="35" t="s">
        <v>146</v>
      </c>
      <c r="O8" s="35">
        <f t="shared" si="1"/>
        <v>9999</v>
      </c>
      <c r="P8" s="35" t="s">
        <v>147</v>
      </c>
      <c r="Q8" s="36" t="str">
        <f t="shared" si="2"/>
        <v/>
      </c>
      <c r="R8" s="33" t="s">
        <v>148</v>
      </c>
      <c r="S8" s="33" t="s">
        <v>149</v>
      </c>
      <c r="T8" s="36"/>
      <c r="U8" s="36">
        <v>9324</v>
      </c>
      <c r="V8" s="36">
        <v>1</v>
      </c>
      <c r="W8" s="36" t="s">
        <v>151</v>
      </c>
      <c r="X8" s="36" t="s">
        <v>152</v>
      </c>
      <c r="Y8" s="6"/>
      <c r="Z8" s="2"/>
    </row>
    <row r="9" spans="1:26" ht="12" customHeight="1">
      <c r="A9" s="34">
        <v>6</v>
      </c>
      <c r="B9" s="35" t="s">
        <v>158</v>
      </c>
      <c r="C9" s="35" t="s">
        <v>25</v>
      </c>
      <c r="D9" s="35">
        <v>5</v>
      </c>
      <c r="E9" s="34">
        <v>2</v>
      </c>
      <c r="F9" s="34">
        <v>2</v>
      </c>
      <c r="G9" s="34">
        <v>6</v>
      </c>
      <c r="H9" s="34">
        <v>14</v>
      </c>
      <c r="I9" s="34">
        <f t="shared" si="0"/>
        <v>-8</v>
      </c>
      <c r="J9" s="35" t="s">
        <v>0</v>
      </c>
      <c r="K9" s="35" t="str">
        <f>IF(COUNTIF('Draft Tracker'!$E$4:$E$147,B9)&gt;0,"Yes","No")</f>
        <v>No</v>
      </c>
      <c r="L9" s="35" t="s">
        <v>107</v>
      </c>
      <c r="M9" s="35" t="s">
        <v>145</v>
      </c>
      <c r="N9" s="35" t="s">
        <v>159</v>
      </c>
      <c r="O9" s="35">
        <f t="shared" si="1"/>
        <v>9999</v>
      </c>
      <c r="P9" s="35" t="s">
        <v>147</v>
      </c>
      <c r="Q9" s="36" t="str">
        <f t="shared" si="2"/>
        <v/>
      </c>
      <c r="R9" s="33" t="s">
        <v>148</v>
      </c>
      <c r="S9" s="33" t="s">
        <v>149</v>
      </c>
      <c r="T9" s="36"/>
      <c r="U9" s="36">
        <v>9217</v>
      </c>
      <c r="V9" s="36">
        <v>2</v>
      </c>
      <c r="W9" s="36" t="s">
        <v>156</v>
      </c>
      <c r="X9" s="36" t="s">
        <v>152</v>
      </c>
      <c r="Y9" s="6"/>
      <c r="Z9" s="2"/>
    </row>
    <row r="10" spans="1:26" ht="12" customHeight="1">
      <c r="A10" s="34">
        <v>7</v>
      </c>
      <c r="B10" s="35" t="s">
        <v>160</v>
      </c>
      <c r="C10" s="35" t="s">
        <v>30</v>
      </c>
      <c r="D10" s="35">
        <v>3</v>
      </c>
      <c r="E10" s="34">
        <v>3</v>
      </c>
      <c r="F10" s="34">
        <v>1</v>
      </c>
      <c r="G10" s="34">
        <v>7</v>
      </c>
      <c r="H10" s="34">
        <v>5</v>
      </c>
      <c r="I10" s="34">
        <f t="shared" si="0"/>
        <v>2</v>
      </c>
      <c r="J10" s="35" t="s">
        <v>0</v>
      </c>
      <c r="K10" s="35" t="str">
        <f>IF(COUNTIF('Draft Tracker'!$E$4:$E$147,B10)&gt;0,"Yes","No")</f>
        <v>No</v>
      </c>
      <c r="L10" s="35" t="s">
        <v>110</v>
      </c>
      <c r="M10" s="35" t="s">
        <v>145</v>
      </c>
      <c r="N10" s="35" t="s">
        <v>146</v>
      </c>
      <c r="O10" s="35">
        <f t="shared" si="1"/>
        <v>9999</v>
      </c>
      <c r="P10" s="35" t="s">
        <v>147</v>
      </c>
      <c r="Q10" s="40" t="str">
        <f t="shared" si="2"/>
        <v/>
      </c>
      <c r="R10" s="33" t="s">
        <v>148</v>
      </c>
      <c r="S10" s="33" t="s">
        <v>149</v>
      </c>
      <c r="T10" s="40"/>
      <c r="U10" s="40">
        <v>8829</v>
      </c>
      <c r="V10" s="40">
        <v>1</v>
      </c>
      <c r="W10" s="40" t="s">
        <v>151</v>
      </c>
      <c r="X10" s="40" t="s">
        <v>152</v>
      </c>
      <c r="Y10" s="11"/>
      <c r="Z10" s="2"/>
    </row>
    <row r="11" spans="1:26" ht="12" customHeight="1">
      <c r="A11" s="34">
        <v>8</v>
      </c>
      <c r="B11" s="35" t="s">
        <v>161</v>
      </c>
      <c r="C11" s="35" t="s">
        <v>32</v>
      </c>
      <c r="D11" s="35">
        <v>1</v>
      </c>
      <c r="E11" s="34">
        <v>1</v>
      </c>
      <c r="F11" s="34">
        <v>1</v>
      </c>
      <c r="G11" s="34">
        <v>8</v>
      </c>
      <c r="H11" s="34">
        <v>8</v>
      </c>
      <c r="I11" s="34">
        <f t="shared" si="0"/>
        <v>0</v>
      </c>
      <c r="J11" s="35" t="s">
        <v>0</v>
      </c>
      <c r="K11" s="35" t="str">
        <f>IF(COUNTIF('Draft Tracker'!$E$4:$E$147,B11)&gt;0,"Yes","No")</f>
        <v>No</v>
      </c>
      <c r="L11" s="35" t="s">
        <v>110</v>
      </c>
      <c r="M11" s="35" t="s">
        <v>145</v>
      </c>
      <c r="N11" s="35" t="s">
        <v>146</v>
      </c>
      <c r="O11" s="35">
        <f t="shared" si="1"/>
        <v>9999</v>
      </c>
      <c r="P11" s="35" t="s">
        <v>147</v>
      </c>
      <c r="Q11" s="36" t="str">
        <f t="shared" si="2"/>
        <v/>
      </c>
      <c r="R11" s="33" t="s">
        <v>148</v>
      </c>
      <c r="S11" s="33" t="s">
        <v>149</v>
      </c>
      <c r="T11" s="36"/>
      <c r="U11" s="36">
        <v>8181</v>
      </c>
      <c r="V11" s="36">
        <v>1</v>
      </c>
      <c r="W11" s="36" t="s">
        <v>151</v>
      </c>
      <c r="X11" s="36" t="s">
        <v>152</v>
      </c>
      <c r="Y11" s="6"/>
      <c r="Z11" s="2"/>
    </row>
    <row r="12" spans="1:26" ht="12" customHeight="1">
      <c r="A12" s="34">
        <v>9</v>
      </c>
      <c r="B12" s="35" t="s">
        <v>162</v>
      </c>
      <c r="C12" s="35" t="s">
        <v>25</v>
      </c>
      <c r="D12" s="35">
        <v>6</v>
      </c>
      <c r="E12" s="34">
        <v>3</v>
      </c>
      <c r="F12" s="34">
        <v>2</v>
      </c>
      <c r="G12" s="34">
        <v>10</v>
      </c>
      <c r="H12" s="34">
        <v>16</v>
      </c>
      <c r="I12" s="34">
        <f t="shared" si="0"/>
        <v>-6</v>
      </c>
      <c r="J12" s="35" t="s">
        <v>0</v>
      </c>
      <c r="K12" s="35" t="str">
        <f>IF(COUNTIF('Draft Tracker'!$E$4:$E$147,B12)&gt;0,"Yes","No")</f>
        <v>No</v>
      </c>
      <c r="L12" s="35" t="s">
        <v>104</v>
      </c>
      <c r="M12" s="35" t="s">
        <v>145</v>
      </c>
      <c r="N12" s="35" t="s">
        <v>163</v>
      </c>
      <c r="O12" s="35">
        <f t="shared" si="1"/>
        <v>9999</v>
      </c>
      <c r="P12" s="35" t="s">
        <v>147</v>
      </c>
      <c r="Q12" s="35" t="str">
        <f t="shared" si="2"/>
        <v/>
      </c>
      <c r="R12" s="33" t="s">
        <v>148</v>
      </c>
      <c r="S12" s="41" t="s">
        <v>149</v>
      </c>
      <c r="T12" s="35"/>
      <c r="U12" s="35">
        <v>7795</v>
      </c>
      <c r="V12" s="35">
        <v>2</v>
      </c>
      <c r="W12" s="35" t="s">
        <v>156</v>
      </c>
      <c r="X12" s="35" t="s">
        <v>152</v>
      </c>
      <c r="Y12" s="2"/>
      <c r="Z12" s="2"/>
    </row>
    <row r="13" spans="1:26" ht="12" customHeight="1">
      <c r="A13" s="34">
        <v>10</v>
      </c>
      <c r="B13" s="35" t="s">
        <v>164</v>
      </c>
      <c r="C13" s="35" t="s">
        <v>30</v>
      </c>
      <c r="D13" s="35">
        <v>4</v>
      </c>
      <c r="E13" s="34">
        <v>4</v>
      </c>
      <c r="F13" s="34">
        <v>1</v>
      </c>
      <c r="G13" s="34">
        <v>9</v>
      </c>
      <c r="H13" s="34">
        <v>7</v>
      </c>
      <c r="I13" s="34">
        <f t="shared" si="0"/>
        <v>2</v>
      </c>
      <c r="J13" s="35" t="s">
        <v>0</v>
      </c>
      <c r="K13" s="35" t="s">
        <v>147</v>
      </c>
      <c r="L13" s="35" t="s">
        <v>1</v>
      </c>
      <c r="M13" s="35" t="s">
        <v>145</v>
      </c>
      <c r="N13" s="35" t="s">
        <v>146</v>
      </c>
      <c r="O13" s="35">
        <f t="shared" si="1"/>
        <v>9999</v>
      </c>
      <c r="P13" s="35" t="s">
        <v>147</v>
      </c>
      <c r="Q13" s="42" t="str">
        <f t="shared" si="2"/>
        <v/>
      </c>
      <c r="R13" s="43" t="s">
        <v>154</v>
      </c>
      <c r="S13" s="44" t="s">
        <v>149</v>
      </c>
      <c r="T13" s="42"/>
      <c r="U13" s="42">
        <v>7852</v>
      </c>
      <c r="V13" s="42">
        <v>1</v>
      </c>
      <c r="W13" s="42" t="s">
        <v>151</v>
      </c>
      <c r="X13" s="42" t="s">
        <v>152</v>
      </c>
      <c r="Y13" s="12"/>
      <c r="Z13" s="2"/>
    </row>
    <row r="14" spans="1:26" ht="12" customHeight="1">
      <c r="A14" s="34">
        <v>11</v>
      </c>
      <c r="B14" s="35" t="s">
        <v>165</v>
      </c>
      <c r="C14" s="35" t="s">
        <v>28</v>
      </c>
      <c r="D14" s="35">
        <v>3</v>
      </c>
      <c r="E14" s="34">
        <v>3</v>
      </c>
      <c r="F14" s="34">
        <v>2</v>
      </c>
      <c r="G14" s="34">
        <v>11</v>
      </c>
      <c r="H14" s="34">
        <v>12</v>
      </c>
      <c r="I14" s="34">
        <f t="shared" si="0"/>
        <v>-1</v>
      </c>
      <c r="J14" s="35" t="s">
        <v>0</v>
      </c>
      <c r="K14" s="35" t="str">
        <f>IF(COUNTIF('Draft Tracker'!$E$4:$E$147,B14)&gt;0,"Yes","No")</f>
        <v>No</v>
      </c>
      <c r="L14" s="35" t="s">
        <v>1</v>
      </c>
      <c r="M14" s="35" t="s">
        <v>145</v>
      </c>
      <c r="N14" s="35" t="s">
        <v>146</v>
      </c>
      <c r="O14" s="35">
        <f t="shared" si="1"/>
        <v>9999</v>
      </c>
      <c r="P14" s="35" t="s">
        <v>147</v>
      </c>
      <c r="Q14" s="35" t="str">
        <f t="shared" si="2"/>
        <v/>
      </c>
      <c r="R14" s="33" t="s">
        <v>148</v>
      </c>
      <c r="S14" s="41" t="s">
        <v>149</v>
      </c>
      <c r="T14" s="35"/>
      <c r="U14" s="35">
        <v>7685</v>
      </c>
      <c r="V14" s="35">
        <v>2</v>
      </c>
      <c r="W14" s="35" t="s">
        <v>151</v>
      </c>
      <c r="X14" s="35" t="s">
        <v>152</v>
      </c>
      <c r="Y14" s="2"/>
      <c r="Z14" s="2"/>
    </row>
    <row r="15" spans="1:26" ht="12" customHeight="1">
      <c r="A15" s="34">
        <v>12</v>
      </c>
      <c r="B15" s="35" t="s">
        <v>166</v>
      </c>
      <c r="C15" s="35" t="s">
        <v>25</v>
      </c>
      <c r="D15" s="35">
        <v>4</v>
      </c>
      <c r="E15" s="34">
        <v>4</v>
      </c>
      <c r="F15" s="34">
        <v>2</v>
      </c>
      <c r="G15" s="34">
        <v>12</v>
      </c>
      <c r="H15" s="34">
        <v>13</v>
      </c>
      <c r="I15" s="34">
        <f t="shared" si="0"/>
        <v>-1</v>
      </c>
      <c r="J15" s="35" t="s">
        <v>0</v>
      </c>
      <c r="K15" s="35" t="str">
        <f>IF(COUNTIF('Draft Tracker'!$E$4:$E$147,B15)&gt;0,"Yes","No")</f>
        <v>No</v>
      </c>
      <c r="L15" s="35" t="s">
        <v>101</v>
      </c>
      <c r="M15" s="35" t="s">
        <v>145</v>
      </c>
      <c r="N15" s="35" t="s">
        <v>146</v>
      </c>
      <c r="O15" s="35">
        <f t="shared" si="1"/>
        <v>9999</v>
      </c>
      <c r="P15" s="35" t="s">
        <v>147</v>
      </c>
      <c r="Q15" s="45" t="str">
        <f t="shared" si="2"/>
        <v/>
      </c>
      <c r="R15" s="38" t="s">
        <v>148</v>
      </c>
      <c r="S15" s="46" t="s">
        <v>149</v>
      </c>
      <c r="T15" s="35"/>
      <c r="U15" s="35">
        <v>7660</v>
      </c>
      <c r="V15" s="35">
        <v>2</v>
      </c>
      <c r="W15" s="35" t="s">
        <v>151</v>
      </c>
      <c r="X15" s="35" t="s">
        <v>152</v>
      </c>
      <c r="Y15" s="2"/>
      <c r="Z15" s="2"/>
    </row>
    <row r="16" spans="1:26" ht="12" customHeight="1">
      <c r="A16" s="34">
        <v>13</v>
      </c>
      <c r="B16" s="35" t="s">
        <v>167</v>
      </c>
      <c r="C16" s="35" t="s">
        <v>25</v>
      </c>
      <c r="D16" s="35">
        <v>3</v>
      </c>
      <c r="E16" s="34">
        <v>5</v>
      </c>
      <c r="F16" s="34">
        <v>2</v>
      </c>
      <c r="G16" s="34">
        <v>14</v>
      </c>
      <c r="H16" s="34">
        <v>11</v>
      </c>
      <c r="I16" s="34">
        <f t="shared" si="0"/>
        <v>3</v>
      </c>
      <c r="J16" s="35" t="s">
        <v>0</v>
      </c>
      <c r="K16" s="35" t="str">
        <f>IF(COUNTIF('Draft Tracker'!$E$4:$E$147,B16)&gt;0,"Yes","No")</f>
        <v>No</v>
      </c>
      <c r="L16" s="35" t="s">
        <v>98</v>
      </c>
      <c r="M16" s="35" t="s">
        <v>145</v>
      </c>
      <c r="N16" s="35" t="s">
        <v>146</v>
      </c>
      <c r="O16" s="35">
        <f t="shared" si="1"/>
        <v>9999</v>
      </c>
      <c r="P16" s="35" t="s">
        <v>147</v>
      </c>
      <c r="Q16" s="35" t="str">
        <f t="shared" si="2"/>
        <v/>
      </c>
      <c r="R16" s="33" t="s">
        <v>154</v>
      </c>
      <c r="S16" s="41" t="s">
        <v>149</v>
      </c>
      <c r="T16" s="35"/>
      <c r="U16" s="35">
        <v>7631</v>
      </c>
      <c r="V16" s="35">
        <v>2</v>
      </c>
      <c r="W16" s="35" t="s">
        <v>168</v>
      </c>
      <c r="X16" s="35" t="s">
        <v>152</v>
      </c>
      <c r="Y16" s="2"/>
      <c r="Z16" s="2"/>
    </row>
    <row r="17" spans="1:26" ht="12" customHeight="1">
      <c r="A17" s="34">
        <v>14</v>
      </c>
      <c r="B17" s="35" t="s">
        <v>169</v>
      </c>
      <c r="C17" s="35" t="s">
        <v>30</v>
      </c>
      <c r="D17" s="35">
        <v>7</v>
      </c>
      <c r="E17" s="34">
        <v>5</v>
      </c>
      <c r="F17" s="34">
        <v>2</v>
      </c>
      <c r="G17" s="34">
        <v>13</v>
      </c>
      <c r="H17" s="34">
        <v>18</v>
      </c>
      <c r="I17" s="34">
        <f t="shared" si="0"/>
        <v>-5</v>
      </c>
      <c r="J17" s="35" t="s">
        <v>0</v>
      </c>
      <c r="K17" s="35" t="str">
        <f>IF(COUNTIF('Draft Tracker'!$E$4:$E$147,B17)&gt;0,"Yes","No")</f>
        <v>No</v>
      </c>
      <c r="L17" s="35" t="s">
        <v>104</v>
      </c>
      <c r="M17" s="35" t="s">
        <v>145</v>
      </c>
      <c r="N17" s="35" t="s">
        <v>170</v>
      </c>
      <c r="O17" s="35">
        <f t="shared" si="1"/>
        <v>9999</v>
      </c>
      <c r="P17" s="35" t="s">
        <v>147</v>
      </c>
      <c r="Q17" s="35" t="str">
        <f t="shared" si="2"/>
        <v/>
      </c>
      <c r="R17" s="33" t="s">
        <v>154</v>
      </c>
      <c r="S17" s="41" t="s">
        <v>149</v>
      </c>
      <c r="T17" s="35"/>
      <c r="U17" s="35">
        <v>7633</v>
      </c>
      <c r="V17" s="35">
        <v>2</v>
      </c>
      <c r="W17" s="35" t="s">
        <v>156</v>
      </c>
      <c r="X17" s="35" t="s">
        <v>152</v>
      </c>
      <c r="Y17" s="2"/>
      <c r="Z17" s="2"/>
    </row>
    <row r="18" spans="1:26" ht="12" customHeight="1">
      <c r="A18" s="34">
        <v>15</v>
      </c>
      <c r="B18" s="35" t="s">
        <v>171</v>
      </c>
      <c r="C18" s="35" t="s">
        <v>28</v>
      </c>
      <c r="D18" s="35">
        <v>5</v>
      </c>
      <c r="E18" s="34">
        <v>4</v>
      </c>
      <c r="F18" s="34">
        <v>3</v>
      </c>
      <c r="G18" s="34">
        <v>15</v>
      </c>
      <c r="H18" s="34">
        <v>24</v>
      </c>
      <c r="I18" s="34">
        <f t="shared" si="0"/>
        <v>-9</v>
      </c>
      <c r="J18" s="35" t="s">
        <v>147</v>
      </c>
      <c r="K18" s="35" t="str">
        <f>IF(COUNTIF('Draft Tracker'!$E$4:$E$147,B18)&gt;0,"Yes","No")</f>
        <v>No</v>
      </c>
      <c r="L18" s="35"/>
      <c r="M18" s="35" t="s">
        <v>172</v>
      </c>
      <c r="N18" s="35" t="s">
        <v>146</v>
      </c>
      <c r="O18" s="35">
        <f t="shared" si="1"/>
        <v>24</v>
      </c>
      <c r="P18" s="35" t="s">
        <v>0</v>
      </c>
      <c r="Q18" s="35">
        <f t="shared" si="2"/>
        <v>1</v>
      </c>
      <c r="R18" s="33" t="s">
        <v>173</v>
      </c>
      <c r="S18" s="41" t="s">
        <v>174</v>
      </c>
      <c r="T18" s="35"/>
      <c r="U18" s="35">
        <v>7499</v>
      </c>
      <c r="V18" s="35">
        <v>3</v>
      </c>
      <c r="W18" s="35" t="s">
        <v>156</v>
      </c>
      <c r="X18" s="35" t="s">
        <v>152</v>
      </c>
      <c r="Y18" s="2"/>
      <c r="Z18" s="2"/>
    </row>
    <row r="19" spans="1:26" ht="12" customHeight="1">
      <c r="A19" s="34">
        <v>16</v>
      </c>
      <c r="B19" s="35" t="s">
        <v>175</v>
      </c>
      <c r="C19" s="35" t="s">
        <v>25</v>
      </c>
      <c r="D19" s="35">
        <v>2</v>
      </c>
      <c r="E19" s="34">
        <v>6</v>
      </c>
      <c r="F19" s="34">
        <v>2</v>
      </c>
      <c r="G19" s="34">
        <v>16</v>
      </c>
      <c r="H19" s="34">
        <v>10</v>
      </c>
      <c r="I19" s="34">
        <f t="shared" si="0"/>
        <v>6</v>
      </c>
      <c r="J19" s="35" t="s">
        <v>0</v>
      </c>
      <c r="K19" s="35" t="str">
        <f>IF(COUNTIF('Draft Tracker'!$E$4:$E$147,B19)&gt;0,"Yes","No")</f>
        <v>No</v>
      </c>
      <c r="L19" s="35" t="s">
        <v>1</v>
      </c>
      <c r="M19" s="35" t="s">
        <v>145</v>
      </c>
      <c r="N19" s="35" t="s">
        <v>146</v>
      </c>
      <c r="O19" s="35">
        <f t="shared" si="1"/>
        <v>9999</v>
      </c>
      <c r="P19" s="35" t="s">
        <v>147</v>
      </c>
      <c r="Q19" s="36" t="str">
        <f t="shared" si="2"/>
        <v/>
      </c>
      <c r="R19" s="33" t="s">
        <v>154</v>
      </c>
      <c r="S19" s="33" t="s">
        <v>149</v>
      </c>
      <c r="T19" s="36"/>
      <c r="U19" s="36">
        <v>7409</v>
      </c>
      <c r="V19" s="36">
        <v>2</v>
      </c>
      <c r="W19" s="36" t="s">
        <v>168</v>
      </c>
      <c r="X19" s="36" t="s">
        <v>152</v>
      </c>
      <c r="Y19" s="6"/>
      <c r="Z19" s="2"/>
    </row>
    <row r="20" spans="1:26" ht="12" customHeight="1">
      <c r="A20" s="34">
        <v>17</v>
      </c>
      <c r="B20" s="35" t="s">
        <v>15</v>
      </c>
      <c r="C20" s="35" t="s">
        <v>32</v>
      </c>
      <c r="D20" s="35">
        <v>2</v>
      </c>
      <c r="E20" s="34">
        <v>2</v>
      </c>
      <c r="F20" s="34">
        <v>3</v>
      </c>
      <c r="G20" s="34">
        <v>17</v>
      </c>
      <c r="H20" s="34">
        <v>21</v>
      </c>
      <c r="I20" s="34">
        <f t="shared" si="0"/>
        <v>-4</v>
      </c>
      <c r="J20" s="35" t="s">
        <v>0</v>
      </c>
      <c r="K20" s="35" t="str">
        <f>IF(COUNTIF('Draft Tracker'!$E$4:$E$147,B20)&gt;0,"Yes","No")</f>
        <v>No</v>
      </c>
      <c r="L20" s="35" t="s">
        <v>2</v>
      </c>
      <c r="M20" s="35" t="s">
        <v>145</v>
      </c>
      <c r="N20" s="35" t="s">
        <v>176</v>
      </c>
      <c r="O20" s="35">
        <f t="shared" si="1"/>
        <v>9999</v>
      </c>
      <c r="P20" s="35" t="s">
        <v>147</v>
      </c>
      <c r="Q20" s="36" t="str">
        <f t="shared" si="2"/>
        <v/>
      </c>
      <c r="R20" s="33" t="s">
        <v>154</v>
      </c>
      <c r="S20" s="33" t="s">
        <v>149</v>
      </c>
      <c r="T20" s="36"/>
      <c r="U20" s="36">
        <v>7358</v>
      </c>
      <c r="V20" s="36">
        <v>3</v>
      </c>
      <c r="W20" s="36" t="s">
        <v>156</v>
      </c>
      <c r="X20" s="36" t="s">
        <v>152</v>
      </c>
      <c r="Y20" s="6"/>
      <c r="Z20" s="2"/>
    </row>
    <row r="21" spans="1:26" ht="12" customHeight="1">
      <c r="A21" s="34">
        <v>18</v>
      </c>
      <c r="B21" s="35" t="s">
        <v>177</v>
      </c>
      <c r="C21" s="35" t="s">
        <v>30</v>
      </c>
      <c r="D21" s="35">
        <v>6</v>
      </c>
      <c r="E21" s="34">
        <v>6</v>
      </c>
      <c r="F21" s="34">
        <v>2</v>
      </c>
      <c r="G21" s="34">
        <v>18</v>
      </c>
      <c r="H21" s="34">
        <v>17</v>
      </c>
      <c r="I21" s="34">
        <f t="shared" si="0"/>
        <v>1</v>
      </c>
      <c r="J21" s="35" t="s">
        <v>0</v>
      </c>
      <c r="K21" s="35" t="str">
        <f>IF(COUNTIF('Draft Tracker'!$E$4:$E$147,B21)&gt;0,"Yes","No")</f>
        <v>No</v>
      </c>
      <c r="L21" s="35" t="s">
        <v>107</v>
      </c>
      <c r="M21" s="35" t="s">
        <v>145</v>
      </c>
      <c r="N21" s="35" t="s">
        <v>146</v>
      </c>
      <c r="O21" s="35">
        <f t="shared" si="1"/>
        <v>9999</v>
      </c>
      <c r="P21" s="35" t="s">
        <v>147</v>
      </c>
      <c r="Q21" s="35" t="str">
        <f t="shared" si="2"/>
        <v/>
      </c>
      <c r="R21" s="33" t="s">
        <v>148</v>
      </c>
      <c r="S21" s="41" t="s">
        <v>149</v>
      </c>
      <c r="T21" s="35"/>
      <c r="U21" s="35">
        <v>7185</v>
      </c>
      <c r="V21" s="35">
        <v>2</v>
      </c>
      <c r="W21" s="35" t="s">
        <v>151</v>
      </c>
      <c r="X21" s="35" t="s">
        <v>152</v>
      </c>
      <c r="Y21" s="2"/>
      <c r="Z21" s="2"/>
    </row>
    <row r="22" spans="1:26" ht="12" customHeight="1">
      <c r="A22" s="34">
        <v>19</v>
      </c>
      <c r="B22" s="35" t="s">
        <v>178</v>
      </c>
      <c r="C22" s="35" t="s">
        <v>30</v>
      </c>
      <c r="D22" s="35">
        <v>5</v>
      </c>
      <c r="E22" s="34">
        <v>7</v>
      </c>
      <c r="F22" s="34">
        <v>2</v>
      </c>
      <c r="G22" s="34">
        <v>19</v>
      </c>
      <c r="H22" s="34">
        <v>9</v>
      </c>
      <c r="I22" s="34">
        <f t="shared" si="0"/>
        <v>10</v>
      </c>
      <c r="J22" s="35" t="s">
        <v>0</v>
      </c>
      <c r="K22" s="35" t="str">
        <f>IF(COUNTIF('Draft Tracker'!$E$4:$E$147,B22)&gt;0,"Yes","No")</f>
        <v>No</v>
      </c>
      <c r="L22" s="35" t="s">
        <v>107</v>
      </c>
      <c r="M22" s="35" t="s">
        <v>145</v>
      </c>
      <c r="N22" s="35" t="s">
        <v>179</v>
      </c>
      <c r="O22" s="35">
        <f t="shared" si="1"/>
        <v>9999</v>
      </c>
      <c r="P22" s="35" t="s">
        <v>147</v>
      </c>
      <c r="Q22" s="27" t="str">
        <f t="shared" si="2"/>
        <v/>
      </c>
      <c r="R22" s="47" t="s">
        <v>154</v>
      </c>
      <c r="S22" s="48" t="s">
        <v>149</v>
      </c>
      <c r="T22" s="27"/>
      <c r="U22" s="27">
        <v>7176</v>
      </c>
      <c r="V22" s="27">
        <v>2</v>
      </c>
      <c r="W22" s="27" t="s">
        <v>168</v>
      </c>
      <c r="X22" s="27" t="s">
        <v>152</v>
      </c>
      <c r="Y22" s="14"/>
      <c r="Z22" s="2"/>
    </row>
    <row r="23" spans="1:26" ht="12" customHeight="1">
      <c r="A23" s="34">
        <v>20</v>
      </c>
      <c r="B23" s="35" t="s">
        <v>7</v>
      </c>
      <c r="C23" s="35" t="s">
        <v>25</v>
      </c>
      <c r="D23" s="35">
        <v>7</v>
      </c>
      <c r="E23" s="34">
        <v>7</v>
      </c>
      <c r="F23" s="34">
        <v>3</v>
      </c>
      <c r="G23" s="34">
        <v>22</v>
      </c>
      <c r="H23" s="34">
        <v>20</v>
      </c>
      <c r="I23" s="34">
        <f t="shared" si="0"/>
        <v>2</v>
      </c>
      <c r="J23" s="35" t="s">
        <v>0</v>
      </c>
      <c r="K23" s="35" t="str">
        <f>IF(COUNTIF('Draft Tracker'!$E$4:$E$147,B23)&gt;0,"Yes","No")</f>
        <v>No</v>
      </c>
      <c r="L23" s="35" t="s">
        <v>3</v>
      </c>
      <c r="M23" s="35" t="s">
        <v>145</v>
      </c>
      <c r="N23" s="35" t="s">
        <v>146</v>
      </c>
      <c r="O23" s="35">
        <f t="shared" si="1"/>
        <v>9999</v>
      </c>
      <c r="P23" s="35" t="s">
        <v>147</v>
      </c>
      <c r="Q23" s="15" t="str">
        <f t="shared" si="2"/>
        <v/>
      </c>
      <c r="R23" s="33" t="s">
        <v>154</v>
      </c>
      <c r="S23" s="33" t="s">
        <v>149</v>
      </c>
      <c r="T23" s="15"/>
      <c r="U23" s="15">
        <v>7048</v>
      </c>
      <c r="V23" s="15">
        <v>3</v>
      </c>
      <c r="W23" s="15" t="s">
        <v>151</v>
      </c>
      <c r="X23" s="15" t="s">
        <v>152</v>
      </c>
      <c r="Y23" s="15"/>
      <c r="Z23" s="2"/>
    </row>
    <row r="24" spans="1:26" ht="12" customHeight="1">
      <c r="A24" s="34">
        <v>21</v>
      </c>
      <c r="B24" s="35" t="s">
        <v>180</v>
      </c>
      <c r="C24" s="35" t="s">
        <v>30</v>
      </c>
      <c r="D24" s="35">
        <v>8</v>
      </c>
      <c r="E24" s="34">
        <v>8</v>
      </c>
      <c r="F24" s="34">
        <v>3</v>
      </c>
      <c r="G24" s="34">
        <v>21</v>
      </c>
      <c r="H24" s="34">
        <v>19</v>
      </c>
      <c r="I24" s="34">
        <f t="shared" si="0"/>
        <v>2</v>
      </c>
      <c r="J24" s="35" t="s">
        <v>0</v>
      </c>
      <c r="K24" s="35" t="str">
        <f>IF(COUNTIF('Draft Tracker'!$E$4:$E$147,B24)&gt;0,"Yes","No")</f>
        <v>No</v>
      </c>
      <c r="L24" s="35" t="s">
        <v>101</v>
      </c>
      <c r="M24" s="35" t="s">
        <v>145</v>
      </c>
      <c r="N24" s="35" t="s">
        <v>146</v>
      </c>
      <c r="O24" s="35">
        <f t="shared" si="1"/>
        <v>9999</v>
      </c>
      <c r="P24" s="35" t="s">
        <v>147</v>
      </c>
      <c r="Q24" s="15" t="str">
        <f t="shared" si="2"/>
        <v/>
      </c>
      <c r="R24" s="33" t="s">
        <v>154</v>
      </c>
      <c r="S24" s="33" t="s">
        <v>149</v>
      </c>
      <c r="T24" s="15"/>
      <c r="U24" s="15">
        <v>7068</v>
      </c>
      <c r="V24" s="15">
        <v>3</v>
      </c>
      <c r="W24" s="15" t="s">
        <v>151</v>
      </c>
      <c r="X24" s="15" t="s">
        <v>152</v>
      </c>
      <c r="Y24" s="15"/>
      <c r="Z24" s="2"/>
    </row>
    <row r="25" spans="1:26" ht="12" customHeight="1">
      <c r="A25" s="34">
        <v>22</v>
      </c>
      <c r="B25" s="35" t="s">
        <v>181</v>
      </c>
      <c r="C25" s="35" t="s">
        <v>28</v>
      </c>
      <c r="D25" s="35">
        <v>4</v>
      </c>
      <c r="E25" s="34">
        <v>5</v>
      </c>
      <c r="F25" s="34">
        <v>2</v>
      </c>
      <c r="G25" s="34">
        <v>23</v>
      </c>
      <c r="H25" s="34">
        <v>15</v>
      </c>
      <c r="I25" s="34">
        <f t="shared" si="0"/>
        <v>8</v>
      </c>
      <c r="J25" s="35" t="s">
        <v>0</v>
      </c>
      <c r="K25" s="35" t="s">
        <v>147</v>
      </c>
      <c r="L25" s="35" t="s">
        <v>110</v>
      </c>
      <c r="M25" s="35" t="s">
        <v>145</v>
      </c>
      <c r="N25" s="35" t="s">
        <v>146</v>
      </c>
      <c r="O25" s="35">
        <f t="shared" si="1"/>
        <v>9999</v>
      </c>
      <c r="P25" s="35" t="s">
        <v>147</v>
      </c>
      <c r="Q25" s="35" t="str">
        <f t="shared" si="2"/>
        <v/>
      </c>
      <c r="R25" s="33" t="s">
        <v>148</v>
      </c>
      <c r="S25" s="41" t="s">
        <v>149</v>
      </c>
      <c r="T25" s="35"/>
      <c r="U25" s="35">
        <v>7031</v>
      </c>
      <c r="V25" s="35">
        <v>2</v>
      </c>
      <c r="W25" s="35" t="s">
        <v>168</v>
      </c>
      <c r="X25" s="35" t="s">
        <v>152</v>
      </c>
      <c r="Y25" s="2"/>
      <c r="Z25" s="2"/>
    </row>
    <row r="26" spans="1:26" ht="12" customHeight="1">
      <c r="A26" s="34">
        <v>23</v>
      </c>
      <c r="B26" s="35" t="s">
        <v>16</v>
      </c>
      <c r="C26" s="35" t="s">
        <v>28</v>
      </c>
      <c r="D26" s="35">
        <v>8</v>
      </c>
      <c r="E26" s="34">
        <v>6</v>
      </c>
      <c r="F26" s="34">
        <v>3</v>
      </c>
      <c r="G26" s="34">
        <v>24</v>
      </c>
      <c r="H26" s="34">
        <v>30</v>
      </c>
      <c r="I26" s="34">
        <f t="shared" si="0"/>
        <v>-6</v>
      </c>
      <c r="J26" s="35" t="s">
        <v>0</v>
      </c>
      <c r="K26" s="35" t="str">
        <f>IF(COUNTIF('Draft Tracker'!$E$4:$E$147,B26)&gt;0,"Yes","No")</f>
        <v>No</v>
      </c>
      <c r="L26" s="35" t="s">
        <v>2</v>
      </c>
      <c r="M26" s="35" t="s">
        <v>145</v>
      </c>
      <c r="N26" s="35" t="s">
        <v>182</v>
      </c>
      <c r="O26" s="35">
        <f t="shared" si="1"/>
        <v>9999</v>
      </c>
      <c r="P26" s="35" t="s">
        <v>147</v>
      </c>
      <c r="Q26" s="45" t="str">
        <f t="shared" si="2"/>
        <v/>
      </c>
      <c r="R26" s="38" t="s">
        <v>154</v>
      </c>
      <c r="S26" s="46" t="s">
        <v>174</v>
      </c>
      <c r="T26" s="45"/>
      <c r="U26" s="45">
        <v>6828</v>
      </c>
      <c r="V26" s="45">
        <v>3</v>
      </c>
      <c r="W26" s="45" t="s">
        <v>156</v>
      </c>
      <c r="X26" s="45" t="s">
        <v>152</v>
      </c>
      <c r="Y26" s="13"/>
      <c r="Z26" s="2"/>
    </row>
    <row r="27" spans="1:26" ht="12" customHeight="1">
      <c r="A27" s="34">
        <v>24</v>
      </c>
      <c r="B27" s="35" t="s">
        <v>183</v>
      </c>
      <c r="C27" s="35" t="s">
        <v>25</v>
      </c>
      <c r="D27" s="35">
        <v>8</v>
      </c>
      <c r="E27" s="34">
        <v>8</v>
      </c>
      <c r="F27" s="34">
        <v>3</v>
      </c>
      <c r="G27" s="34">
        <v>27</v>
      </c>
      <c r="H27" s="34">
        <v>23</v>
      </c>
      <c r="I27" s="34">
        <f t="shared" si="0"/>
        <v>4</v>
      </c>
      <c r="J27" s="35" t="s">
        <v>0</v>
      </c>
      <c r="K27" s="35" t="str">
        <f>IF(COUNTIF('Draft Tracker'!$E$4:$E$147,B27)&gt;0,"Yes","No")</f>
        <v>No</v>
      </c>
      <c r="L27" s="35" t="s">
        <v>107</v>
      </c>
      <c r="M27" s="35" t="s">
        <v>145</v>
      </c>
      <c r="N27" s="35" t="s">
        <v>184</v>
      </c>
      <c r="O27" s="35">
        <f t="shared" si="1"/>
        <v>9999</v>
      </c>
      <c r="P27" s="35" t="s">
        <v>147</v>
      </c>
      <c r="Q27" s="16" t="str">
        <f t="shared" si="2"/>
        <v/>
      </c>
      <c r="R27" s="33" t="s">
        <v>154</v>
      </c>
      <c r="S27" s="33" t="s">
        <v>149</v>
      </c>
      <c r="T27" s="16"/>
      <c r="U27" s="16">
        <v>6370</v>
      </c>
      <c r="V27" s="16">
        <v>3</v>
      </c>
      <c r="W27" s="16" t="s">
        <v>168</v>
      </c>
      <c r="X27" s="16" t="s">
        <v>152</v>
      </c>
      <c r="Y27" s="16"/>
      <c r="Z27" s="2"/>
    </row>
    <row r="28" spans="1:26" ht="12" customHeight="1">
      <c r="A28" s="34">
        <v>25</v>
      </c>
      <c r="B28" s="35" t="s">
        <v>185</v>
      </c>
      <c r="C28" s="35" t="s">
        <v>30</v>
      </c>
      <c r="D28" s="35">
        <v>9</v>
      </c>
      <c r="E28" s="34">
        <v>9</v>
      </c>
      <c r="F28" s="34">
        <v>3</v>
      </c>
      <c r="G28" s="34">
        <v>25</v>
      </c>
      <c r="H28" s="34">
        <v>22</v>
      </c>
      <c r="I28" s="34">
        <f t="shared" si="0"/>
        <v>3</v>
      </c>
      <c r="J28" s="35" t="s">
        <v>0</v>
      </c>
      <c r="K28" s="35" t="str">
        <f>IF(COUNTIF('Draft Tracker'!$E$4:$E$147,B28)&gt;0,"Yes","No")</f>
        <v>No</v>
      </c>
      <c r="L28" s="35" t="s">
        <v>1</v>
      </c>
      <c r="M28" s="35" t="s">
        <v>145</v>
      </c>
      <c r="N28" s="35" t="s">
        <v>146</v>
      </c>
      <c r="O28" s="35">
        <f t="shared" si="1"/>
        <v>9999</v>
      </c>
      <c r="P28" s="35" t="s">
        <v>147</v>
      </c>
      <c r="Q28" s="16" t="str">
        <f t="shared" si="2"/>
        <v/>
      </c>
      <c r="R28" s="33" t="s">
        <v>148</v>
      </c>
      <c r="S28" s="33" t="s">
        <v>149</v>
      </c>
      <c r="T28" s="16"/>
      <c r="U28" s="16">
        <v>6406</v>
      </c>
      <c r="V28" s="16">
        <v>3</v>
      </c>
      <c r="W28" s="16" t="s">
        <v>168</v>
      </c>
      <c r="X28" s="16" t="s">
        <v>152</v>
      </c>
      <c r="Y28" s="16"/>
      <c r="Z28" s="2"/>
    </row>
    <row r="29" spans="1:26" ht="12" customHeight="1">
      <c r="A29" s="34">
        <v>26</v>
      </c>
      <c r="B29" s="35" t="s">
        <v>186</v>
      </c>
      <c r="C29" s="35" t="s">
        <v>25</v>
      </c>
      <c r="D29" s="35">
        <v>11</v>
      </c>
      <c r="E29" s="34">
        <v>9</v>
      </c>
      <c r="F29" s="34">
        <v>4</v>
      </c>
      <c r="G29" s="34">
        <v>29</v>
      </c>
      <c r="H29" s="34">
        <v>39</v>
      </c>
      <c r="I29" s="34">
        <f t="shared" si="0"/>
        <v>-10</v>
      </c>
      <c r="J29" s="35" t="s">
        <v>0</v>
      </c>
      <c r="K29" s="35" t="str">
        <f>IF(COUNTIF('Draft Tracker'!$E$4:$E$147,B29)&gt;0,"Yes","No")</f>
        <v>No</v>
      </c>
      <c r="L29" s="35" t="s">
        <v>110</v>
      </c>
      <c r="M29" s="35" t="s">
        <v>145</v>
      </c>
      <c r="N29" s="35" t="s">
        <v>184</v>
      </c>
      <c r="O29" s="35">
        <f t="shared" si="1"/>
        <v>9999</v>
      </c>
      <c r="P29" s="35" t="s">
        <v>147</v>
      </c>
      <c r="Q29" s="35" t="str">
        <f t="shared" si="2"/>
        <v/>
      </c>
      <c r="R29" s="33" t="s">
        <v>148</v>
      </c>
      <c r="S29" s="41" t="s">
        <v>174</v>
      </c>
      <c r="T29" s="35"/>
      <c r="U29" s="35">
        <v>6325</v>
      </c>
      <c r="V29" s="35">
        <v>4</v>
      </c>
      <c r="W29" s="35" t="s">
        <v>156</v>
      </c>
      <c r="X29" s="35" t="s">
        <v>152</v>
      </c>
      <c r="Y29" s="2"/>
      <c r="Z29" s="2"/>
    </row>
    <row r="30" spans="1:26" ht="12" customHeight="1">
      <c r="A30" s="34">
        <v>27</v>
      </c>
      <c r="B30" s="35" t="s">
        <v>187</v>
      </c>
      <c r="C30" s="35" t="s">
        <v>32</v>
      </c>
      <c r="D30" s="35">
        <v>4</v>
      </c>
      <c r="E30" s="34">
        <v>3</v>
      </c>
      <c r="F30" s="34">
        <v>4</v>
      </c>
      <c r="G30" s="34">
        <v>28</v>
      </c>
      <c r="H30" s="34">
        <v>44</v>
      </c>
      <c r="I30" s="34">
        <f t="shared" si="0"/>
        <v>-16</v>
      </c>
      <c r="J30" s="35" t="s">
        <v>0</v>
      </c>
      <c r="K30" s="35" t="str">
        <f>IF(COUNTIF('Draft Tracker'!$E$4:$E$147,B30)&gt;0,"Yes","No")</f>
        <v>No</v>
      </c>
      <c r="L30" s="35" t="s">
        <v>98</v>
      </c>
      <c r="M30" s="35" t="s">
        <v>145</v>
      </c>
      <c r="N30" s="35" t="s">
        <v>188</v>
      </c>
      <c r="O30" s="35">
        <f t="shared" si="1"/>
        <v>9999</v>
      </c>
      <c r="P30" s="35" t="s">
        <v>147</v>
      </c>
      <c r="Q30" s="42" t="str">
        <f t="shared" si="2"/>
        <v/>
      </c>
      <c r="R30" s="43" t="s">
        <v>148</v>
      </c>
      <c r="S30" s="44" t="s">
        <v>174</v>
      </c>
      <c r="T30" s="42"/>
      <c r="U30" s="42">
        <v>6342</v>
      </c>
      <c r="V30" s="42">
        <v>4</v>
      </c>
      <c r="W30" s="42" t="s">
        <v>156</v>
      </c>
      <c r="X30" s="42" t="s">
        <v>152</v>
      </c>
      <c r="Y30" s="19"/>
      <c r="Z30" s="2"/>
    </row>
    <row r="31" spans="1:26" ht="12" customHeight="1">
      <c r="A31" s="34">
        <v>28</v>
      </c>
      <c r="B31" s="35" t="s">
        <v>17</v>
      </c>
      <c r="C31" s="35" t="s">
        <v>25</v>
      </c>
      <c r="D31" s="35">
        <v>10</v>
      </c>
      <c r="E31" s="34">
        <v>10</v>
      </c>
      <c r="F31" s="34">
        <v>4</v>
      </c>
      <c r="G31" s="34">
        <v>26</v>
      </c>
      <c r="H31" s="34">
        <v>37</v>
      </c>
      <c r="I31" s="34">
        <f t="shared" si="0"/>
        <v>-11</v>
      </c>
      <c r="J31" s="35" t="s">
        <v>0</v>
      </c>
      <c r="K31" s="35" t="str">
        <f>IF(COUNTIF('Draft Tracker'!$E$4:$E$147,B31)&gt;0,"Yes","No")</f>
        <v>No</v>
      </c>
      <c r="L31" s="35" t="s">
        <v>2</v>
      </c>
      <c r="M31" s="35" t="s">
        <v>145</v>
      </c>
      <c r="N31" s="35" t="s">
        <v>184</v>
      </c>
      <c r="O31" s="35">
        <f t="shared" si="1"/>
        <v>9999</v>
      </c>
      <c r="P31" s="35" t="s">
        <v>147</v>
      </c>
      <c r="Q31" s="18" t="str">
        <f t="shared" si="2"/>
        <v/>
      </c>
      <c r="R31" s="33" t="s">
        <v>154</v>
      </c>
      <c r="S31" s="33" t="s">
        <v>174</v>
      </c>
      <c r="T31" s="18"/>
      <c r="U31" s="18">
        <v>6375</v>
      </c>
      <c r="V31" s="18">
        <v>4</v>
      </c>
      <c r="W31" s="18" t="s">
        <v>156</v>
      </c>
      <c r="X31" s="18" t="s">
        <v>152</v>
      </c>
      <c r="Y31" s="20"/>
      <c r="Z31" s="2"/>
    </row>
    <row r="32" spans="1:26" ht="12" customHeight="1">
      <c r="A32" s="34">
        <v>29</v>
      </c>
      <c r="B32" s="35" t="s">
        <v>189</v>
      </c>
      <c r="C32" s="35" t="s">
        <v>30</v>
      </c>
      <c r="D32" s="35">
        <v>10</v>
      </c>
      <c r="E32" s="34">
        <v>10</v>
      </c>
      <c r="F32" s="34">
        <v>3</v>
      </c>
      <c r="G32" s="34">
        <v>30</v>
      </c>
      <c r="H32" s="34">
        <v>27</v>
      </c>
      <c r="I32" s="34">
        <f t="shared" si="0"/>
        <v>3</v>
      </c>
      <c r="J32" s="35" t="s">
        <v>0</v>
      </c>
      <c r="K32" s="35" t="str">
        <f>IF(COUNTIF('Draft Tracker'!$E$4:$E$147,B32)&gt;0,"Yes","No")</f>
        <v>No</v>
      </c>
      <c r="L32" s="35" t="s">
        <v>107</v>
      </c>
      <c r="M32" s="35" t="s">
        <v>145</v>
      </c>
      <c r="N32" s="35" t="s">
        <v>146</v>
      </c>
      <c r="O32" s="35">
        <f t="shared" si="1"/>
        <v>9999</v>
      </c>
      <c r="P32" s="35" t="s">
        <v>147</v>
      </c>
      <c r="Q32" s="18" t="str">
        <f t="shared" si="2"/>
        <v/>
      </c>
      <c r="R32" s="33" t="s">
        <v>148</v>
      </c>
      <c r="S32" s="33" t="s">
        <v>174</v>
      </c>
      <c r="T32" s="18"/>
      <c r="U32" s="18">
        <v>6293</v>
      </c>
      <c r="V32" s="18">
        <v>3</v>
      </c>
      <c r="W32" s="18" t="s">
        <v>168</v>
      </c>
      <c r="X32" s="18" t="s">
        <v>152</v>
      </c>
      <c r="Y32" s="20"/>
      <c r="Z32" s="2"/>
    </row>
    <row r="33" spans="1:26" ht="12" customHeight="1">
      <c r="A33" s="34">
        <v>30</v>
      </c>
      <c r="B33" s="35" t="s">
        <v>190</v>
      </c>
      <c r="C33" s="35" t="s">
        <v>28</v>
      </c>
      <c r="D33" s="35">
        <v>7</v>
      </c>
      <c r="E33" s="34">
        <v>7</v>
      </c>
      <c r="F33" s="34">
        <v>3</v>
      </c>
      <c r="G33" s="34">
        <v>32</v>
      </c>
      <c r="H33" s="34">
        <v>28</v>
      </c>
      <c r="I33" s="34">
        <f t="shared" si="0"/>
        <v>4</v>
      </c>
      <c r="J33" s="35" t="s">
        <v>0</v>
      </c>
      <c r="K33" s="35" t="str">
        <f>IF(COUNTIF('Draft Tracker'!$E$4:$E$147,B33)&gt;0,"Yes","No")</f>
        <v>No</v>
      </c>
      <c r="L33" s="35" t="s">
        <v>104</v>
      </c>
      <c r="M33" s="35" t="s">
        <v>145</v>
      </c>
      <c r="N33" s="35" t="s">
        <v>146</v>
      </c>
      <c r="O33" s="35">
        <f t="shared" si="1"/>
        <v>9999</v>
      </c>
      <c r="P33" s="35" t="s">
        <v>147</v>
      </c>
      <c r="Q33" s="35" t="str">
        <f t="shared" si="2"/>
        <v/>
      </c>
      <c r="R33" s="33" t="s">
        <v>154</v>
      </c>
      <c r="S33" s="41" t="s">
        <v>174</v>
      </c>
      <c r="T33" s="35"/>
      <c r="U33" s="35">
        <v>6125</v>
      </c>
      <c r="V33" s="35">
        <v>3</v>
      </c>
      <c r="W33" s="35" t="s">
        <v>168</v>
      </c>
      <c r="X33" s="35" t="s">
        <v>152</v>
      </c>
      <c r="Y33" s="2"/>
      <c r="Z33" s="2"/>
    </row>
    <row r="34" spans="1:26" ht="12" customHeight="1">
      <c r="A34" s="34">
        <v>31</v>
      </c>
      <c r="B34" s="35" t="s">
        <v>191</v>
      </c>
      <c r="C34" s="35" t="s">
        <v>25</v>
      </c>
      <c r="D34" s="35">
        <v>9</v>
      </c>
      <c r="E34" s="34">
        <v>11</v>
      </c>
      <c r="F34" s="34">
        <v>3</v>
      </c>
      <c r="G34" s="34">
        <v>31</v>
      </c>
      <c r="H34" s="34">
        <v>25</v>
      </c>
      <c r="I34" s="34">
        <f t="shared" si="0"/>
        <v>6</v>
      </c>
      <c r="J34" s="35" t="s">
        <v>0</v>
      </c>
      <c r="K34" s="35" t="str">
        <f>IF(COUNTIF('Draft Tracker'!$E$4:$E$147,B34)&gt;0,"Yes","No")</f>
        <v>No</v>
      </c>
      <c r="L34" s="35" t="s">
        <v>104</v>
      </c>
      <c r="M34" s="35" t="s">
        <v>145</v>
      </c>
      <c r="N34" s="35" t="s">
        <v>184</v>
      </c>
      <c r="O34" s="35">
        <f t="shared" si="1"/>
        <v>9999</v>
      </c>
      <c r="P34" s="35" t="s">
        <v>147</v>
      </c>
      <c r="Q34" s="42" t="str">
        <f t="shared" si="2"/>
        <v/>
      </c>
      <c r="R34" s="43" t="s">
        <v>154</v>
      </c>
      <c r="S34" s="44" t="s">
        <v>149</v>
      </c>
      <c r="T34" s="42"/>
      <c r="U34" s="42">
        <v>6141</v>
      </c>
      <c r="V34" s="42">
        <v>3</v>
      </c>
      <c r="W34" s="42" t="s">
        <v>168</v>
      </c>
      <c r="X34" s="42" t="s">
        <v>152</v>
      </c>
      <c r="Y34" s="21"/>
      <c r="Z34" s="2"/>
    </row>
    <row r="35" spans="1:26" ht="12" customHeight="1">
      <c r="A35" s="34">
        <v>32</v>
      </c>
      <c r="B35" s="35" t="s">
        <v>192</v>
      </c>
      <c r="C35" s="35" t="s">
        <v>28</v>
      </c>
      <c r="D35" s="35">
        <v>6</v>
      </c>
      <c r="E35" s="34">
        <v>8</v>
      </c>
      <c r="F35" s="34">
        <v>3</v>
      </c>
      <c r="G35" s="34">
        <v>33</v>
      </c>
      <c r="H35" s="34">
        <v>26</v>
      </c>
      <c r="I35" s="34">
        <f t="shared" si="0"/>
        <v>7</v>
      </c>
      <c r="J35" s="35" t="s">
        <v>0</v>
      </c>
      <c r="K35" s="35" t="str">
        <f>IF(COUNTIF('Draft Tracker'!$E$4:$E$147,B35)&gt;0,"Yes","No")</f>
        <v>No</v>
      </c>
      <c r="L35" s="35" t="s">
        <v>110</v>
      </c>
      <c r="M35" s="35" t="s">
        <v>145</v>
      </c>
      <c r="N35" s="35" t="s">
        <v>146</v>
      </c>
      <c r="O35" s="35">
        <f t="shared" si="1"/>
        <v>9999</v>
      </c>
      <c r="P35" s="35" t="s">
        <v>147</v>
      </c>
      <c r="Q35" s="18" t="str">
        <f t="shared" si="2"/>
        <v/>
      </c>
      <c r="R35" s="33" t="s">
        <v>154</v>
      </c>
      <c r="S35" s="33" t="s">
        <v>174</v>
      </c>
      <c r="T35" s="18"/>
      <c r="U35" s="18">
        <v>6108</v>
      </c>
      <c r="V35" s="18">
        <v>3</v>
      </c>
      <c r="W35" s="18" t="s">
        <v>168</v>
      </c>
      <c r="X35" s="18" t="s">
        <v>152</v>
      </c>
      <c r="Y35" s="22"/>
      <c r="Z35" s="2"/>
    </row>
    <row r="36" spans="1:26" ht="12" customHeight="1">
      <c r="A36" s="34">
        <v>33</v>
      </c>
      <c r="B36" s="35" t="s">
        <v>193</v>
      </c>
      <c r="C36" s="35" t="s">
        <v>30</v>
      </c>
      <c r="D36" s="35">
        <v>11</v>
      </c>
      <c r="E36" s="34">
        <v>11</v>
      </c>
      <c r="F36" s="34">
        <v>3</v>
      </c>
      <c r="G36" s="34">
        <v>34</v>
      </c>
      <c r="H36" s="34">
        <v>29</v>
      </c>
      <c r="I36" s="34">
        <f t="shared" ref="I36:I67" si="3">G36-H36</f>
        <v>5</v>
      </c>
      <c r="J36" s="35" t="s">
        <v>0</v>
      </c>
      <c r="K36" s="35" t="str">
        <f>IF(COUNTIF('Draft Tracker'!$E$4:$E$147,B36)&gt;0,"Yes","No")</f>
        <v>No</v>
      </c>
      <c r="L36" s="35" t="s">
        <v>107</v>
      </c>
      <c r="M36" s="35" t="s">
        <v>145</v>
      </c>
      <c r="N36" s="35" t="s">
        <v>146</v>
      </c>
      <c r="O36" s="35">
        <f t="shared" ref="O36:O67" si="4">IF(AND(J36="No",K36="No",H36&lt;&gt;""),H36,9999)</f>
        <v>9999</v>
      </c>
      <c r="P36" s="35" t="s">
        <v>147</v>
      </c>
      <c r="Q36" s="18" t="str">
        <f t="shared" ref="Q36:Q67" si="5">IF(J36="Yes","",COUNTIFS($J$4:$J$163,"No",$H$4:$H$163,"&lt;"&amp;H36)+1)</f>
        <v/>
      </c>
      <c r="R36" s="33" t="s">
        <v>154</v>
      </c>
      <c r="S36" s="33" t="s">
        <v>174</v>
      </c>
      <c r="T36" s="18"/>
      <c r="U36" s="18">
        <v>6054</v>
      </c>
      <c r="V36" s="18">
        <v>3</v>
      </c>
      <c r="W36" s="18" t="s">
        <v>168</v>
      </c>
      <c r="X36" s="18" t="s">
        <v>152</v>
      </c>
      <c r="Y36" s="22"/>
      <c r="Z36" s="2"/>
    </row>
    <row r="37" spans="1:26" ht="12" customHeight="1">
      <c r="A37" s="34">
        <v>34</v>
      </c>
      <c r="B37" s="35" t="s">
        <v>194</v>
      </c>
      <c r="C37" s="35" t="s">
        <v>30</v>
      </c>
      <c r="D37" s="35">
        <v>12</v>
      </c>
      <c r="E37" s="34">
        <v>12</v>
      </c>
      <c r="F37" s="34">
        <v>4</v>
      </c>
      <c r="G37" s="34">
        <v>35</v>
      </c>
      <c r="H37" s="34">
        <v>31</v>
      </c>
      <c r="I37" s="34">
        <f t="shared" si="3"/>
        <v>4</v>
      </c>
      <c r="J37" s="35" t="s">
        <v>147</v>
      </c>
      <c r="K37" s="35" t="str">
        <f>IF(COUNTIF('Draft Tracker'!$E$4:$E$147,B37)&gt;0,"Yes","No")</f>
        <v>No</v>
      </c>
      <c r="L37" s="35"/>
      <c r="M37" s="35" t="s">
        <v>172</v>
      </c>
      <c r="N37" s="35" t="s">
        <v>146</v>
      </c>
      <c r="O37" s="35">
        <f t="shared" si="4"/>
        <v>31</v>
      </c>
      <c r="P37" s="35" t="s">
        <v>0</v>
      </c>
      <c r="Q37" s="18">
        <f t="shared" si="5"/>
        <v>2</v>
      </c>
      <c r="R37" s="33" t="s">
        <v>173</v>
      </c>
      <c r="S37" s="33" t="s">
        <v>174</v>
      </c>
      <c r="T37" s="18"/>
      <c r="U37" s="18">
        <v>6007</v>
      </c>
      <c r="V37" s="18">
        <v>4</v>
      </c>
      <c r="W37" s="18" t="s">
        <v>168</v>
      </c>
      <c r="X37" s="18" t="s">
        <v>152</v>
      </c>
      <c r="Y37" s="22"/>
      <c r="Z37" s="2"/>
    </row>
    <row r="38" spans="1:26" ht="12" customHeight="1">
      <c r="A38" s="34">
        <v>35</v>
      </c>
      <c r="B38" s="35" t="s">
        <v>4</v>
      </c>
      <c r="C38" s="35" t="s">
        <v>25</v>
      </c>
      <c r="D38" s="35">
        <v>12</v>
      </c>
      <c r="E38" s="34">
        <v>12</v>
      </c>
      <c r="F38" s="34">
        <v>4</v>
      </c>
      <c r="G38" s="34">
        <v>36</v>
      </c>
      <c r="H38" s="34">
        <v>41</v>
      </c>
      <c r="I38" s="34">
        <f t="shared" si="3"/>
        <v>-5</v>
      </c>
      <c r="J38" s="35" t="s">
        <v>0</v>
      </c>
      <c r="K38" s="35" t="str">
        <f>IF(COUNTIF('Draft Tracker'!$E$4:$E$147,B38)&gt;0,"Yes","No")</f>
        <v>No</v>
      </c>
      <c r="L38" s="35" t="s">
        <v>3</v>
      </c>
      <c r="M38" s="35" t="s">
        <v>145</v>
      </c>
      <c r="N38" s="35" t="s">
        <v>184</v>
      </c>
      <c r="O38" s="35">
        <f t="shared" si="4"/>
        <v>9999</v>
      </c>
      <c r="P38" s="35" t="s">
        <v>147</v>
      </c>
      <c r="Q38" s="35" t="str">
        <f t="shared" si="5"/>
        <v/>
      </c>
      <c r="R38" s="33" t="s">
        <v>154</v>
      </c>
      <c r="S38" s="41" t="s">
        <v>174</v>
      </c>
      <c r="T38" s="35"/>
      <c r="U38" s="35">
        <v>5971</v>
      </c>
      <c r="V38" s="35">
        <v>4</v>
      </c>
      <c r="W38" s="35" t="s">
        <v>156</v>
      </c>
      <c r="X38" s="35" t="s">
        <v>152</v>
      </c>
      <c r="Y38" s="2"/>
      <c r="Z38" s="2"/>
    </row>
    <row r="39" spans="1:26" ht="12" customHeight="1">
      <c r="A39" s="34">
        <v>36</v>
      </c>
      <c r="B39" s="35" t="s">
        <v>195</v>
      </c>
      <c r="C39" s="35" t="s">
        <v>32</v>
      </c>
      <c r="D39" s="35">
        <v>3</v>
      </c>
      <c r="E39" s="34">
        <v>4</v>
      </c>
      <c r="F39" s="34">
        <v>4</v>
      </c>
      <c r="G39" s="34">
        <v>37</v>
      </c>
      <c r="H39" s="34">
        <v>40</v>
      </c>
      <c r="I39" s="34">
        <f t="shared" si="3"/>
        <v>-3</v>
      </c>
      <c r="J39" s="35" t="s">
        <v>0</v>
      </c>
      <c r="K39" s="35" t="str">
        <f>IF(COUNTIF('Draft Tracker'!$E$4:$E$147,B39)&gt;0,"Yes","No")</f>
        <v>No</v>
      </c>
      <c r="L39" s="35" t="s">
        <v>104</v>
      </c>
      <c r="M39" s="35" t="s">
        <v>145</v>
      </c>
      <c r="N39" s="35" t="s">
        <v>196</v>
      </c>
      <c r="O39" s="35">
        <f t="shared" si="4"/>
        <v>9999</v>
      </c>
      <c r="P39" s="35" t="s">
        <v>147</v>
      </c>
      <c r="Q39" s="35" t="str">
        <f t="shared" si="5"/>
        <v/>
      </c>
      <c r="R39" s="33" t="s">
        <v>148</v>
      </c>
      <c r="S39" s="41" t="s">
        <v>174</v>
      </c>
      <c r="T39" s="35"/>
      <c r="U39" s="35">
        <v>5884</v>
      </c>
      <c r="V39" s="35">
        <v>4</v>
      </c>
      <c r="W39" s="35" t="s">
        <v>156</v>
      </c>
      <c r="X39" s="35" t="s">
        <v>152</v>
      </c>
      <c r="Y39" s="2"/>
      <c r="Z39" s="2"/>
    </row>
    <row r="40" spans="1:26" ht="12" customHeight="1">
      <c r="A40" s="34">
        <v>37</v>
      </c>
      <c r="B40" s="35" t="s">
        <v>197</v>
      </c>
      <c r="C40" s="35" t="s">
        <v>25</v>
      </c>
      <c r="D40" s="35">
        <v>14</v>
      </c>
      <c r="E40" s="34">
        <v>13</v>
      </c>
      <c r="F40" s="34">
        <v>5</v>
      </c>
      <c r="G40" s="34">
        <v>38</v>
      </c>
      <c r="H40" s="34">
        <v>54</v>
      </c>
      <c r="I40" s="34">
        <f t="shared" si="3"/>
        <v>-16</v>
      </c>
      <c r="J40" s="35" t="s">
        <v>147</v>
      </c>
      <c r="K40" s="35" t="str">
        <f>IF(COUNTIF('Draft Tracker'!$E$4:$E$147,B40)&gt;0,"Yes","No")</f>
        <v>No</v>
      </c>
      <c r="L40" s="35"/>
      <c r="M40" s="35" t="s">
        <v>20</v>
      </c>
      <c r="N40" s="35" t="s">
        <v>184</v>
      </c>
      <c r="O40" s="35">
        <f t="shared" si="4"/>
        <v>54</v>
      </c>
      <c r="P40" s="35" t="s">
        <v>147</v>
      </c>
      <c r="Q40" s="35">
        <f t="shared" si="5"/>
        <v>6</v>
      </c>
      <c r="R40" s="33" t="s">
        <v>154</v>
      </c>
      <c r="S40" s="41" t="s">
        <v>174</v>
      </c>
      <c r="T40" s="35"/>
      <c r="U40" s="35">
        <v>5828</v>
      </c>
      <c r="V40" s="35">
        <v>5</v>
      </c>
      <c r="W40" s="35" t="s">
        <v>156</v>
      </c>
      <c r="X40" s="35" t="s">
        <v>152</v>
      </c>
      <c r="Y40" s="2"/>
      <c r="Z40" s="2"/>
    </row>
    <row r="41" spans="1:26" ht="12" customHeight="1">
      <c r="A41" s="34">
        <v>38</v>
      </c>
      <c r="B41" s="35" t="s">
        <v>198</v>
      </c>
      <c r="C41" s="35" t="s">
        <v>30</v>
      </c>
      <c r="D41" s="35">
        <v>17</v>
      </c>
      <c r="E41" s="34">
        <v>13</v>
      </c>
      <c r="F41" s="34">
        <v>4</v>
      </c>
      <c r="G41" s="34">
        <v>41</v>
      </c>
      <c r="H41" s="34">
        <v>38</v>
      </c>
      <c r="I41" s="34">
        <f t="shared" si="3"/>
        <v>3</v>
      </c>
      <c r="J41" s="35" t="s">
        <v>0</v>
      </c>
      <c r="K41" s="35" t="str">
        <f>IF(COUNTIF('Draft Tracker'!$E$4:$E$147,B41)&gt;0,"Yes","No")</f>
        <v>No</v>
      </c>
      <c r="L41" s="35" t="s">
        <v>98</v>
      </c>
      <c r="M41" s="35" t="s">
        <v>145</v>
      </c>
      <c r="N41" s="35" t="s">
        <v>146</v>
      </c>
      <c r="O41" s="35">
        <f t="shared" si="4"/>
        <v>9999</v>
      </c>
      <c r="P41" s="35" t="s">
        <v>147</v>
      </c>
      <c r="Q41" s="35" t="str">
        <f t="shared" si="5"/>
        <v/>
      </c>
      <c r="R41" s="33" t="s">
        <v>154</v>
      </c>
      <c r="S41" s="41" t="s">
        <v>174</v>
      </c>
      <c r="T41" s="35"/>
      <c r="U41" s="35">
        <v>5584</v>
      </c>
      <c r="V41" s="35">
        <v>4</v>
      </c>
      <c r="W41" s="35" t="s">
        <v>168</v>
      </c>
      <c r="X41" s="35" t="s">
        <v>152</v>
      </c>
      <c r="Y41" s="2"/>
      <c r="Z41" s="2"/>
    </row>
    <row r="42" spans="1:26" ht="12" customHeight="1">
      <c r="A42" s="34">
        <v>39</v>
      </c>
      <c r="B42" s="35" t="s">
        <v>199</v>
      </c>
      <c r="C42" s="35" t="s">
        <v>30</v>
      </c>
      <c r="D42" s="35">
        <v>13</v>
      </c>
      <c r="E42" s="34">
        <v>14</v>
      </c>
      <c r="F42" s="34">
        <v>4</v>
      </c>
      <c r="G42" s="34">
        <v>43</v>
      </c>
      <c r="H42" s="34">
        <v>32</v>
      </c>
      <c r="I42" s="34">
        <f t="shared" si="3"/>
        <v>11</v>
      </c>
      <c r="J42" s="35" t="s">
        <v>0</v>
      </c>
      <c r="K42" s="35" t="str">
        <f>IF(COUNTIF('Draft Tracker'!$E$4:$E$147,B42)&gt;0,"Yes","No")</f>
        <v>No</v>
      </c>
      <c r="L42" s="35" t="s">
        <v>101</v>
      </c>
      <c r="M42" s="35" t="s">
        <v>145</v>
      </c>
      <c r="N42" s="35" t="s">
        <v>179</v>
      </c>
      <c r="O42" s="35">
        <f t="shared" si="4"/>
        <v>9999</v>
      </c>
      <c r="P42" s="35" t="s">
        <v>147</v>
      </c>
      <c r="Q42" s="35" t="str">
        <f t="shared" si="5"/>
        <v/>
      </c>
      <c r="R42" s="33" t="s">
        <v>154</v>
      </c>
      <c r="S42" s="41" t="s">
        <v>174</v>
      </c>
      <c r="T42" s="35"/>
      <c r="U42" s="35">
        <v>5544</v>
      </c>
      <c r="V42" s="35">
        <v>4</v>
      </c>
      <c r="W42" s="35" t="s">
        <v>168</v>
      </c>
      <c r="X42" s="35" t="s">
        <v>152</v>
      </c>
      <c r="Y42" s="2"/>
      <c r="Z42" s="2"/>
    </row>
    <row r="43" spans="1:26" ht="12" customHeight="1">
      <c r="A43" s="34">
        <v>40</v>
      </c>
      <c r="B43" s="35" t="s">
        <v>9</v>
      </c>
      <c r="C43" s="35" t="s">
        <v>30</v>
      </c>
      <c r="D43" s="35">
        <v>14</v>
      </c>
      <c r="E43" s="34">
        <v>15</v>
      </c>
      <c r="F43" s="34">
        <v>4</v>
      </c>
      <c r="G43" s="34">
        <v>45</v>
      </c>
      <c r="H43" s="34">
        <v>33</v>
      </c>
      <c r="I43" s="34">
        <f t="shared" si="3"/>
        <v>12</v>
      </c>
      <c r="J43" s="35" t="s">
        <v>0</v>
      </c>
      <c r="K43" s="35" t="str">
        <f>IF(COUNTIF('Draft Tracker'!$E$4:$E$147,B43)&gt;0,"Yes","No")</f>
        <v>No</v>
      </c>
      <c r="L43" s="35" t="s">
        <v>3</v>
      </c>
      <c r="M43" s="35" t="s">
        <v>145</v>
      </c>
      <c r="N43" s="35" t="s">
        <v>179</v>
      </c>
      <c r="O43" s="35">
        <f t="shared" si="4"/>
        <v>9999</v>
      </c>
      <c r="P43" s="35" t="s">
        <v>147</v>
      </c>
      <c r="Q43" s="35" t="str">
        <f t="shared" si="5"/>
        <v/>
      </c>
      <c r="R43" s="33" t="s">
        <v>154</v>
      </c>
      <c r="S43" s="41" t="s">
        <v>174</v>
      </c>
      <c r="T43" s="35"/>
      <c r="U43" s="35">
        <v>5530</v>
      </c>
      <c r="V43" s="35">
        <v>4</v>
      </c>
      <c r="W43" s="35" t="s">
        <v>168</v>
      </c>
      <c r="X43" s="35" t="s">
        <v>152</v>
      </c>
      <c r="Y43" s="2"/>
      <c r="Z43" s="2"/>
    </row>
    <row r="44" spans="1:26" ht="12" customHeight="1">
      <c r="A44" s="34">
        <v>41</v>
      </c>
      <c r="B44" s="35" t="s">
        <v>200</v>
      </c>
      <c r="C44" s="35" t="s">
        <v>28</v>
      </c>
      <c r="D44" s="35">
        <v>13</v>
      </c>
      <c r="E44" s="34">
        <v>9</v>
      </c>
      <c r="F44" s="34">
        <v>5</v>
      </c>
      <c r="G44" s="34">
        <v>46</v>
      </c>
      <c r="H44" s="34">
        <v>49</v>
      </c>
      <c r="I44" s="34">
        <f t="shared" si="3"/>
        <v>-3</v>
      </c>
      <c r="J44" s="35" t="s">
        <v>0</v>
      </c>
      <c r="K44" s="35" t="str">
        <f>IF(COUNTIF('Draft Tracker'!$E$4:$E$147,B44)&gt;0,"Yes","No")</f>
        <v>No</v>
      </c>
      <c r="L44" s="35" t="s">
        <v>101</v>
      </c>
      <c r="M44" s="35" t="s">
        <v>145</v>
      </c>
      <c r="N44" s="35" t="s">
        <v>146</v>
      </c>
      <c r="O44" s="35">
        <f t="shared" si="4"/>
        <v>9999</v>
      </c>
      <c r="P44" s="35" t="s">
        <v>147</v>
      </c>
      <c r="Q44" s="35" t="str">
        <f t="shared" si="5"/>
        <v/>
      </c>
      <c r="R44" s="33" t="s">
        <v>154</v>
      </c>
      <c r="S44" s="41" t="s">
        <v>174</v>
      </c>
      <c r="T44" s="35"/>
      <c r="U44" s="35">
        <v>5521</v>
      </c>
      <c r="V44" s="35">
        <v>5</v>
      </c>
      <c r="W44" s="35" t="s">
        <v>156</v>
      </c>
      <c r="X44" s="35" t="s">
        <v>152</v>
      </c>
      <c r="Y44" s="2"/>
      <c r="Z44" s="2"/>
    </row>
    <row r="45" spans="1:26" ht="12" customHeight="1">
      <c r="A45" s="34">
        <v>42</v>
      </c>
      <c r="B45" s="35" t="s">
        <v>201</v>
      </c>
      <c r="C45" s="35" t="s">
        <v>28</v>
      </c>
      <c r="D45" s="35">
        <v>11</v>
      </c>
      <c r="E45" s="34">
        <v>10</v>
      </c>
      <c r="F45" s="34">
        <v>4</v>
      </c>
      <c r="G45" s="34">
        <v>44</v>
      </c>
      <c r="H45" s="34">
        <v>43</v>
      </c>
      <c r="I45" s="34">
        <f t="shared" si="3"/>
        <v>1</v>
      </c>
      <c r="J45" s="35" t="s">
        <v>0</v>
      </c>
      <c r="K45" s="35" t="str">
        <f>IF(COUNTIF('Draft Tracker'!$E$4:$E$147,B45)&gt;0,"Yes","No")</f>
        <v>No</v>
      </c>
      <c r="L45" s="35" t="s">
        <v>101</v>
      </c>
      <c r="M45" s="35" t="s">
        <v>145</v>
      </c>
      <c r="N45" s="35" t="s">
        <v>146</v>
      </c>
      <c r="O45" s="35">
        <f t="shared" si="4"/>
        <v>9999</v>
      </c>
      <c r="P45" s="35" t="s">
        <v>147</v>
      </c>
      <c r="Q45" s="35" t="str">
        <f t="shared" si="5"/>
        <v/>
      </c>
      <c r="R45" s="33" t="s">
        <v>154</v>
      </c>
      <c r="S45" s="41" t="s">
        <v>174</v>
      </c>
      <c r="T45" s="35"/>
      <c r="U45" s="35">
        <v>5535</v>
      </c>
      <c r="V45" s="35">
        <v>4</v>
      </c>
      <c r="W45" s="35" t="s">
        <v>151</v>
      </c>
      <c r="X45" s="35" t="s">
        <v>152</v>
      </c>
      <c r="Y45" s="2"/>
      <c r="Z45" s="2"/>
    </row>
    <row r="46" spans="1:26" ht="12" customHeight="1">
      <c r="A46" s="34">
        <v>43</v>
      </c>
      <c r="B46" s="35" t="s">
        <v>202</v>
      </c>
      <c r="C46" s="35" t="s">
        <v>25</v>
      </c>
      <c r="D46" s="35">
        <v>16</v>
      </c>
      <c r="E46" s="34">
        <v>14</v>
      </c>
      <c r="F46" s="34">
        <v>6</v>
      </c>
      <c r="G46" s="34">
        <v>47</v>
      </c>
      <c r="H46" s="34">
        <v>62</v>
      </c>
      <c r="I46" s="34">
        <f t="shared" si="3"/>
        <v>-15</v>
      </c>
      <c r="J46" s="35" t="s">
        <v>0</v>
      </c>
      <c r="K46" s="35" t="str">
        <f>IF(COUNTIF('Draft Tracker'!$E$4:$E$147,B46)&gt;0,"Yes","No")</f>
        <v>No</v>
      </c>
      <c r="L46" s="35" t="s">
        <v>101</v>
      </c>
      <c r="M46" s="35" t="s">
        <v>145</v>
      </c>
      <c r="N46" s="35" t="s">
        <v>184</v>
      </c>
      <c r="O46" s="35">
        <f t="shared" si="4"/>
        <v>9999</v>
      </c>
      <c r="P46" s="35" t="s">
        <v>147</v>
      </c>
      <c r="Q46" s="35" t="str">
        <f t="shared" si="5"/>
        <v/>
      </c>
      <c r="R46" s="33" t="s">
        <v>154</v>
      </c>
      <c r="S46" s="41" t="s">
        <v>174</v>
      </c>
      <c r="T46" s="35"/>
      <c r="U46" s="35">
        <v>5493</v>
      </c>
      <c r="V46" s="35">
        <v>6</v>
      </c>
      <c r="W46" s="35" t="s">
        <v>156</v>
      </c>
      <c r="X46" s="35" t="s">
        <v>152</v>
      </c>
      <c r="Y46" s="2"/>
      <c r="Z46" s="2"/>
    </row>
    <row r="47" spans="1:26" ht="12" customHeight="1">
      <c r="A47" s="34">
        <v>44</v>
      </c>
      <c r="B47" s="35" t="s">
        <v>203</v>
      </c>
      <c r="C47" s="35" t="s">
        <v>30</v>
      </c>
      <c r="D47" s="35">
        <v>15</v>
      </c>
      <c r="E47" s="34">
        <v>16</v>
      </c>
      <c r="F47" s="34">
        <v>4</v>
      </c>
      <c r="G47" s="34">
        <v>48</v>
      </c>
      <c r="H47" s="34">
        <v>35</v>
      </c>
      <c r="I47" s="34">
        <f t="shared" si="3"/>
        <v>13</v>
      </c>
      <c r="J47" s="35" t="s">
        <v>0</v>
      </c>
      <c r="K47" s="35" t="str">
        <f>IF(COUNTIF('Draft Tracker'!$E$4:$E$147,B47)&gt;0,"Yes","No")</f>
        <v>No</v>
      </c>
      <c r="L47" s="35" t="s">
        <v>1</v>
      </c>
      <c r="M47" s="35" t="s">
        <v>145</v>
      </c>
      <c r="N47" s="35" t="s">
        <v>204</v>
      </c>
      <c r="O47" s="35">
        <f t="shared" si="4"/>
        <v>9999</v>
      </c>
      <c r="P47" s="35" t="s">
        <v>147</v>
      </c>
      <c r="Q47" s="35" t="str">
        <f t="shared" si="5"/>
        <v/>
      </c>
      <c r="R47" s="33" t="s">
        <v>154</v>
      </c>
      <c r="S47" s="41" t="s">
        <v>174</v>
      </c>
      <c r="T47" s="35"/>
      <c r="U47" s="35">
        <v>5475</v>
      </c>
      <c r="V47" s="35">
        <v>4</v>
      </c>
      <c r="W47" s="35" t="s">
        <v>168</v>
      </c>
      <c r="X47" s="35" t="s">
        <v>152</v>
      </c>
      <c r="Y47" s="2"/>
      <c r="Z47" s="2"/>
    </row>
    <row r="48" spans="1:26" ht="12" customHeight="1">
      <c r="A48" s="34">
        <v>45</v>
      </c>
      <c r="B48" s="35" t="s">
        <v>205</v>
      </c>
      <c r="C48" s="35" t="s">
        <v>30</v>
      </c>
      <c r="D48" s="35">
        <v>19</v>
      </c>
      <c r="E48" s="34">
        <v>17</v>
      </c>
      <c r="F48" s="34">
        <v>5</v>
      </c>
      <c r="G48" s="34">
        <v>49</v>
      </c>
      <c r="H48" s="34">
        <v>47</v>
      </c>
      <c r="I48" s="34">
        <f t="shared" si="3"/>
        <v>2</v>
      </c>
      <c r="J48" s="35" t="s">
        <v>0</v>
      </c>
      <c r="K48" s="35" t="str">
        <f>IF(COUNTIF('Draft Tracker'!$E$4:$E$147,B48)&gt;0,"Yes","No")</f>
        <v>No</v>
      </c>
      <c r="L48" s="35" t="s">
        <v>110</v>
      </c>
      <c r="M48" s="35" t="s">
        <v>145</v>
      </c>
      <c r="N48" s="35" t="s">
        <v>146</v>
      </c>
      <c r="O48" s="35">
        <f t="shared" si="4"/>
        <v>9999</v>
      </c>
      <c r="P48" s="35" t="s">
        <v>147</v>
      </c>
      <c r="Q48" s="35" t="str">
        <f t="shared" si="5"/>
        <v/>
      </c>
      <c r="R48" s="33" t="s">
        <v>154</v>
      </c>
      <c r="S48" s="41" t="s">
        <v>174</v>
      </c>
      <c r="T48" s="35"/>
      <c r="U48" s="35">
        <v>5463</v>
      </c>
      <c r="V48" s="35">
        <v>5</v>
      </c>
      <c r="W48" s="35" t="s">
        <v>151</v>
      </c>
      <c r="X48" s="35" t="s">
        <v>152</v>
      </c>
      <c r="Y48" s="2"/>
      <c r="Z48" s="2"/>
    </row>
    <row r="49" spans="1:26" ht="12" customHeight="1">
      <c r="A49" s="34">
        <v>46</v>
      </c>
      <c r="B49" s="35" t="s">
        <v>10</v>
      </c>
      <c r="C49" s="35" t="s">
        <v>30</v>
      </c>
      <c r="D49" s="35">
        <v>18</v>
      </c>
      <c r="E49" s="34">
        <v>18</v>
      </c>
      <c r="F49" s="34">
        <v>5</v>
      </c>
      <c r="G49" s="34">
        <v>46</v>
      </c>
      <c r="H49" s="34">
        <v>46</v>
      </c>
      <c r="I49" s="34">
        <f t="shared" si="3"/>
        <v>0</v>
      </c>
      <c r="J49" s="35" t="s">
        <v>0</v>
      </c>
      <c r="K49" s="35" t="str">
        <f>IF(COUNTIF('Draft Tracker'!$E$4:$E$147,B49)&gt;0,"Yes","No")</f>
        <v>No</v>
      </c>
      <c r="L49" s="35" t="s">
        <v>2</v>
      </c>
      <c r="M49" s="35" t="s">
        <v>145</v>
      </c>
      <c r="N49" s="35" t="s">
        <v>146</v>
      </c>
      <c r="O49" s="35">
        <f t="shared" si="4"/>
        <v>9999</v>
      </c>
      <c r="P49" s="35" t="s">
        <v>147</v>
      </c>
      <c r="Q49" s="35" t="str">
        <f t="shared" si="5"/>
        <v/>
      </c>
      <c r="R49" s="33" t="s">
        <v>148</v>
      </c>
      <c r="S49" s="41" t="s">
        <v>174</v>
      </c>
      <c r="T49" s="35"/>
      <c r="U49" s="35"/>
      <c r="V49" s="35">
        <v>5</v>
      </c>
      <c r="W49" s="35" t="s">
        <v>151</v>
      </c>
      <c r="X49" s="35" t="s">
        <v>152</v>
      </c>
      <c r="Y49" s="2"/>
      <c r="Z49" s="2"/>
    </row>
    <row r="50" spans="1:26" ht="12" customHeight="1">
      <c r="A50" s="34">
        <v>47</v>
      </c>
      <c r="B50" s="35" t="s">
        <v>206</v>
      </c>
      <c r="C50" s="35" t="s">
        <v>25</v>
      </c>
      <c r="D50" s="35">
        <v>13</v>
      </c>
      <c r="E50" s="34">
        <v>15</v>
      </c>
      <c r="F50" s="34">
        <v>5</v>
      </c>
      <c r="G50" s="34">
        <v>50</v>
      </c>
      <c r="H50" s="34">
        <v>53</v>
      </c>
      <c r="I50" s="34">
        <f t="shared" si="3"/>
        <v>-3</v>
      </c>
      <c r="J50" s="35" t="s">
        <v>147</v>
      </c>
      <c r="K50" s="35" t="str">
        <f>IF(COUNTIF('Draft Tracker'!$E$4:$E$147,B50)&gt;0,"Yes","No")</f>
        <v>No</v>
      </c>
      <c r="L50" s="35"/>
      <c r="M50" s="35" t="s">
        <v>20</v>
      </c>
      <c r="N50" s="35" t="s">
        <v>184</v>
      </c>
      <c r="O50" s="35">
        <f t="shared" si="4"/>
        <v>53</v>
      </c>
      <c r="P50" s="35" t="s">
        <v>0</v>
      </c>
      <c r="Q50" s="35">
        <f t="shared" si="5"/>
        <v>5</v>
      </c>
      <c r="R50" s="33" t="s">
        <v>173</v>
      </c>
      <c r="S50" s="41" t="s">
        <v>174</v>
      </c>
      <c r="T50" s="35"/>
      <c r="U50" s="35">
        <v>5457</v>
      </c>
      <c r="V50" s="35">
        <v>5</v>
      </c>
      <c r="W50" s="35" t="s">
        <v>156</v>
      </c>
      <c r="X50" s="35" t="s">
        <v>152</v>
      </c>
      <c r="Y50" s="2"/>
      <c r="Z50" s="2"/>
    </row>
    <row r="51" spans="1:26" ht="12" customHeight="1">
      <c r="A51" s="34">
        <v>48</v>
      </c>
      <c r="B51" s="35" t="s">
        <v>207</v>
      </c>
      <c r="C51" s="35" t="s">
        <v>28</v>
      </c>
      <c r="D51" s="35">
        <v>14</v>
      </c>
      <c r="E51" s="34">
        <v>11</v>
      </c>
      <c r="F51" s="34">
        <v>5</v>
      </c>
      <c r="G51" s="34">
        <v>51</v>
      </c>
      <c r="H51" s="34">
        <v>50</v>
      </c>
      <c r="I51" s="34">
        <f t="shared" si="3"/>
        <v>1</v>
      </c>
      <c r="J51" s="35" t="s">
        <v>0</v>
      </c>
      <c r="K51" s="35" t="str">
        <f>IF(COUNTIF('Draft Tracker'!$E$4:$E$147,B51)&gt;0,"Yes","No")</f>
        <v>No</v>
      </c>
      <c r="L51" s="35" t="s">
        <v>110</v>
      </c>
      <c r="M51" s="35" t="s">
        <v>145</v>
      </c>
      <c r="N51" s="35" t="s">
        <v>146</v>
      </c>
      <c r="O51" s="35">
        <f t="shared" si="4"/>
        <v>9999</v>
      </c>
      <c r="P51" s="35" t="s">
        <v>147</v>
      </c>
      <c r="Q51" s="35" t="str">
        <f t="shared" si="5"/>
        <v/>
      </c>
      <c r="R51" s="33" t="s">
        <v>154</v>
      </c>
      <c r="S51" s="41" t="s">
        <v>174</v>
      </c>
      <c r="T51" s="35"/>
      <c r="U51" s="35">
        <v>5389</v>
      </c>
      <c r="V51" s="35">
        <v>5</v>
      </c>
      <c r="W51" s="35" t="s">
        <v>151</v>
      </c>
      <c r="X51" s="35" t="s">
        <v>152</v>
      </c>
      <c r="Y51" s="2"/>
      <c r="Z51" s="2"/>
    </row>
    <row r="52" spans="1:26" ht="12" customHeight="1">
      <c r="A52" s="34">
        <v>49</v>
      </c>
      <c r="B52" s="35" t="s">
        <v>208</v>
      </c>
      <c r="C52" s="35" t="s">
        <v>28</v>
      </c>
      <c r="D52" s="35">
        <v>15</v>
      </c>
      <c r="E52" s="34">
        <v>12</v>
      </c>
      <c r="F52" s="34">
        <v>5</v>
      </c>
      <c r="G52" s="34">
        <v>53</v>
      </c>
      <c r="H52" s="34">
        <v>56</v>
      </c>
      <c r="I52" s="34">
        <f t="shared" si="3"/>
        <v>-3</v>
      </c>
      <c r="J52" s="35" t="s">
        <v>0</v>
      </c>
      <c r="K52" s="35" t="str">
        <f>IF(COUNTIF('Draft Tracker'!$E$4:$E$147,B52)&gt;0,"Yes","No")</f>
        <v>No</v>
      </c>
      <c r="L52" s="35" t="s">
        <v>1</v>
      </c>
      <c r="M52" s="35" t="s">
        <v>145</v>
      </c>
      <c r="N52" s="35" t="s">
        <v>146</v>
      </c>
      <c r="O52" s="35">
        <f t="shared" si="4"/>
        <v>9999</v>
      </c>
      <c r="P52" s="35" t="s">
        <v>147</v>
      </c>
      <c r="Q52" s="35" t="str">
        <f t="shared" si="5"/>
        <v/>
      </c>
      <c r="R52" s="33" t="s">
        <v>154</v>
      </c>
      <c r="S52" s="41" t="s">
        <v>174</v>
      </c>
      <c r="T52" s="35"/>
      <c r="U52" s="35">
        <v>5306</v>
      </c>
      <c r="V52" s="35">
        <v>5</v>
      </c>
      <c r="W52" s="35" t="s">
        <v>156</v>
      </c>
      <c r="X52" s="35" t="s">
        <v>152</v>
      </c>
      <c r="Y52" s="2"/>
      <c r="Z52" s="2"/>
    </row>
    <row r="53" spans="1:26" ht="12" customHeight="1">
      <c r="A53" s="34">
        <v>50</v>
      </c>
      <c r="B53" s="35" t="s">
        <v>209</v>
      </c>
      <c r="C53" s="35" t="s">
        <v>25</v>
      </c>
      <c r="D53" s="35">
        <v>17</v>
      </c>
      <c r="E53" s="34">
        <v>16</v>
      </c>
      <c r="F53" s="34">
        <v>6</v>
      </c>
      <c r="G53" s="34">
        <v>54</v>
      </c>
      <c r="H53" s="34">
        <v>72</v>
      </c>
      <c r="I53" s="34">
        <f t="shared" si="3"/>
        <v>-18</v>
      </c>
      <c r="J53" s="35" t="s">
        <v>147</v>
      </c>
      <c r="K53" s="35" t="str">
        <f>IF(COUNTIF('Draft Tracker'!$E$4:$E$147,B53)&gt;0,"Yes","No")</f>
        <v>No</v>
      </c>
      <c r="L53" s="35"/>
      <c r="M53" s="35" t="s">
        <v>20</v>
      </c>
      <c r="N53" s="35" t="s">
        <v>184</v>
      </c>
      <c r="O53" s="35">
        <f t="shared" si="4"/>
        <v>72</v>
      </c>
      <c r="P53" s="35" t="s">
        <v>147</v>
      </c>
      <c r="Q53" s="35">
        <f t="shared" si="5"/>
        <v>15</v>
      </c>
      <c r="R53" s="33" t="s">
        <v>148</v>
      </c>
      <c r="S53" s="41" t="s">
        <v>174</v>
      </c>
      <c r="T53" s="35"/>
      <c r="U53" s="35">
        <v>5287</v>
      </c>
      <c r="V53" s="35">
        <v>6</v>
      </c>
      <c r="W53" s="35" t="s">
        <v>156</v>
      </c>
      <c r="X53" s="35" t="s">
        <v>152</v>
      </c>
      <c r="Y53" s="2"/>
      <c r="Z53" s="2"/>
    </row>
    <row r="54" spans="1:26" ht="12" customHeight="1">
      <c r="A54" s="34">
        <v>51</v>
      </c>
      <c r="B54" s="35" t="s">
        <v>210</v>
      </c>
      <c r="C54" s="35" t="s">
        <v>30</v>
      </c>
      <c r="D54" s="35">
        <v>21</v>
      </c>
      <c r="E54" s="34">
        <v>19</v>
      </c>
      <c r="F54" s="34">
        <v>5</v>
      </c>
      <c r="G54" s="34">
        <v>52</v>
      </c>
      <c r="H54" s="34">
        <v>51</v>
      </c>
      <c r="I54" s="34">
        <f t="shared" si="3"/>
        <v>1</v>
      </c>
      <c r="J54" s="35" t="s">
        <v>147</v>
      </c>
      <c r="K54" s="35" t="str">
        <f>IF(COUNTIF('Draft Tracker'!$E$4:$E$147,B54)&gt;0,"Yes","No")</f>
        <v>No</v>
      </c>
      <c r="L54" s="35"/>
      <c r="M54" s="35" t="s">
        <v>20</v>
      </c>
      <c r="N54" s="35" t="s">
        <v>146</v>
      </c>
      <c r="O54" s="35">
        <f t="shared" si="4"/>
        <v>51</v>
      </c>
      <c r="P54" s="35" t="s">
        <v>0</v>
      </c>
      <c r="Q54" s="35">
        <f t="shared" si="5"/>
        <v>3</v>
      </c>
      <c r="R54" s="33" t="s">
        <v>173</v>
      </c>
      <c r="S54" s="41" t="s">
        <v>174</v>
      </c>
      <c r="T54" s="35"/>
      <c r="U54" s="35">
        <v>5308</v>
      </c>
      <c r="V54" s="35">
        <v>5</v>
      </c>
      <c r="W54" s="35" t="s">
        <v>151</v>
      </c>
      <c r="X54" s="35" t="s">
        <v>152</v>
      </c>
      <c r="Y54" s="2"/>
      <c r="Z54" s="2"/>
    </row>
    <row r="55" spans="1:26" ht="12" customHeight="1">
      <c r="A55" s="34">
        <v>52</v>
      </c>
      <c r="B55" s="35" t="s">
        <v>211</v>
      </c>
      <c r="C55" s="35" t="s">
        <v>30</v>
      </c>
      <c r="D55" s="35">
        <v>25</v>
      </c>
      <c r="E55" s="34">
        <v>20</v>
      </c>
      <c r="F55" s="34">
        <v>5</v>
      </c>
      <c r="G55" s="34">
        <v>55</v>
      </c>
      <c r="H55" s="34">
        <v>59</v>
      </c>
      <c r="I55" s="34">
        <f t="shared" si="3"/>
        <v>-4</v>
      </c>
      <c r="J55" s="35" t="s">
        <v>147</v>
      </c>
      <c r="K55" s="35" t="str">
        <f>IF(COUNTIF('Draft Tracker'!$E$4:$E$147,B55)&gt;0,"Yes","No")</f>
        <v>No</v>
      </c>
      <c r="L55" s="35"/>
      <c r="M55" s="35" t="s">
        <v>20</v>
      </c>
      <c r="N55" s="35" t="s">
        <v>212</v>
      </c>
      <c r="O55" s="35">
        <f t="shared" si="4"/>
        <v>59</v>
      </c>
      <c r="P55" s="35" t="s">
        <v>147</v>
      </c>
      <c r="Q55" s="35">
        <f t="shared" si="5"/>
        <v>9</v>
      </c>
      <c r="R55" s="33" t="s">
        <v>148</v>
      </c>
      <c r="S55" s="41" t="s">
        <v>174</v>
      </c>
      <c r="T55" s="35"/>
      <c r="U55" s="35">
        <v>5276</v>
      </c>
      <c r="V55" s="35">
        <v>5</v>
      </c>
      <c r="W55" s="35" t="s">
        <v>156</v>
      </c>
      <c r="X55" s="35" t="s">
        <v>152</v>
      </c>
      <c r="Y55" s="2"/>
      <c r="Z55" s="2"/>
    </row>
    <row r="56" spans="1:26" ht="12" customHeight="1">
      <c r="A56" s="34">
        <v>53</v>
      </c>
      <c r="B56" s="35" t="s">
        <v>213</v>
      </c>
      <c r="C56" s="35" t="s">
        <v>28</v>
      </c>
      <c r="D56" s="35">
        <v>12</v>
      </c>
      <c r="E56" s="34">
        <v>13</v>
      </c>
      <c r="F56" s="34">
        <v>4</v>
      </c>
      <c r="G56" s="34">
        <v>56</v>
      </c>
      <c r="H56" s="34">
        <v>45</v>
      </c>
      <c r="I56" s="34">
        <f t="shared" si="3"/>
        <v>11</v>
      </c>
      <c r="J56" s="35" t="s">
        <v>0</v>
      </c>
      <c r="K56" s="35" t="str">
        <f>IF(COUNTIF('Draft Tracker'!$E$4:$E$147,B56)&gt;0,"Yes","No")</f>
        <v>No</v>
      </c>
      <c r="L56" s="35" t="s">
        <v>104</v>
      </c>
      <c r="M56" s="35" t="s">
        <v>145</v>
      </c>
      <c r="N56" s="35" t="s">
        <v>179</v>
      </c>
      <c r="O56" s="35">
        <f t="shared" si="4"/>
        <v>9999</v>
      </c>
      <c r="P56" s="35" t="s">
        <v>147</v>
      </c>
      <c r="Q56" s="35" t="str">
        <f t="shared" si="5"/>
        <v/>
      </c>
      <c r="R56" s="33" t="s">
        <v>154</v>
      </c>
      <c r="S56" s="41" t="s">
        <v>174</v>
      </c>
      <c r="T56" s="35"/>
      <c r="U56" s="35">
        <v>5221</v>
      </c>
      <c r="V56" s="35">
        <v>4</v>
      </c>
      <c r="W56" s="35" t="s">
        <v>168</v>
      </c>
      <c r="X56" s="35" t="s">
        <v>152</v>
      </c>
      <c r="Y56" s="2"/>
      <c r="Z56" s="2"/>
    </row>
    <row r="57" spans="1:26" ht="12" customHeight="1">
      <c r="A57" s="34">
        <v>54</v>
      </c>
      <c r="B57" s="35" t="s">
        <v>214</v>
      </c>
      <c r="C57" s="35" t="s">
        <v>28</v>
      </c>
      <c r="D57" s="35">
        <v>10</v>
      </c>
      <c r="E57" s="34">
        <v>14</v>
      </c>
      <c r="F57" s="34">
        <v>4</v>
      </c>
      <c r="G57" s="34">
        <v>58</v>
      </c>
      <c r="H57" s="34">
        <v>42</v>
      </c>
      <c r="I57" s="34">
        <f t="shared" si="3"/>
        <v>16</v>
      </c>
      <c r="J57" s="35" t="s">
        <v>0</v>
      </c>
      <c r="K57" s="35" t="str">
        <f>IF(COUNTIF('Draft Tracker'!$E$4:$E$147,B57)&gt;0,"Yes","No")</f>
        <v>No</v>
      </c>
      <c r="L57" s="35" t="s">
        <v>110</v>
      </c>
      <c r="M57" s="35" t="s">
        <v>145</v>
      </c>
      <c r="N57" s="35" t="s">
        <v>215</v>
      </c>
      <c r="O57" s="35">
        <f t="shared" si="4"/>
        <v>9999</v>
      </c>
      <c r="P57" s="35" t="s">
        <v>147</v>
      </c>
      <c r="Q57" s="35" t="str">
        <f t="shared" si="5"/>
        <v/>
      </c>
      <c r="R57" s="33" t="s">
        <v>216</v>
      </c>
      <c r="S57" s="41" t="s">
        <v>174</v>
      </c>
      <c r="T57" s="35"/>
      <c r="U57" s="35">
        <v>5156</v>
      </c>
      <c r="V57" s="35">
        <v>4</v>
      </c>
      <c r="W57" s="35" t="s">
        <v>168</v>
      </c>
      <c r="X57" s="35" t="s">
        <v>152</v>
      </c>
      <c r="Y57" s="2"/>
      <c r="Z57" s="2"/>
    </row>
    <row r="58" spans="1:26" ht="12" customHeight="1">
      <c r="A58" s="34">
        <v>55</v>
      </c>
      <c r="B58" s="35" t="s">
        <v>14</v>
      </c>
      <c r="C58" s="35" t="s">
        <v>30</v>
      </c>
      <c r="D58" s="35">
        <v>16</v>
      </c>
      <c r="E58" s="34">
        <v>21</v>
      </c>
      <c r="F58" s="34">
        <v>4</v>
      </c>
      <c r="G58" s="34">
        <v>59</v>
      </c>
      <c r="H58" s="34">
        <v>36</v>
      </c>
      <c r="I58" s="34">
        <f t="shared" si="3"/>
        <v>23</v>
      </c>
      <c r="J58" s="35" t="s">
        <v>0</v>
      </c>
      <c r="K58" s="35" t="str">
        <f>IF(COUNTIF('Draft Tracker'!$E$4:$E$147,B58)&gt;0,"Yes","No")</f>
        <v>No</v>
      </c>
      <c r="L58" s="35" t="s">
        <v>2</v>
      </c>
      <c r="M58" s="35" t="s">
        <v>145</v>
      </c>
      <c r="N58" s="35" t="s">
        <v>179</v>
      </c>
      <c r="O58" s="35">
        <f t="shared" si="4"/>
        <v>9999</v>
      </c>
      <c r="P58" s="35" t="s">
        <v>147</v>
      </c>
      <c r="Q58" s="35" t="str">
        <f t="shared" si="5"/>
        <v/>
      </c>
      <c r="R58" s="33" t="s">
        <v>216</v>
      </c>
      <c r="S58" s="41" t="s">
        <v>174</v>
      </c>
      <c r="T58" s="35"/>
      <c r="U58" s="35">
        <v>5087</v>
      </c>
      <c r="V58" s="35">
        <v>4</v>
      </c>
      <c r="W58" s="35" t="s">
        <v>168</v>
      </c>
      <c r="X58" s="35" t="s">
        <v>152</v>
      </c>
      <c r="Y58" s="2"/>
      <c r="Z58" s="2"/>
    </row>
    <row r="59" spans="1:26" ht="12" customHeight="1">
      <c r="A59" s="34">
        <v>56</v>
      </c>
      <c r="B59" s="35" t="s">
        <v>12</v>
      </c>
      <c r="C59" s="35" t="s">
        <v>28</v>
      </c>
      <c r="D59" s="35">
        <v>9</v>
      </c>
      <c r="E59" s="34">
        <v>15</v>
      </c>
      <c r="F59" s="34">
        <v>4</v>
      </c>
      <c r="G59" s="34">
        <v>60</v>
      </c>
      <c r="H59" s="34">
        <v>34</v>
      </c>
      <c r="I59" s="34">
        <f t="shared" si="3"/>
        <v>26</v>
      </c>
      <c r="J59" s="35" t="s">
        <v>0</v>
      </c>
      <c r="K59" s="35" t="str">
        <f>IF(COUNTIF('Draft Tracker'!$E$4:$E$147,B59)&gt;0,"Yes","No")</f>
        <v>No</v>
      </c>
      <c r="L59" s="35" t="s">
        <v>2</v>
      </c>
      <c r="M59" s="35" t="s">
        <v>145</v>
      </c>
      <c r="N59" s="35" t="s">
        <v>179</v>
      </c>
      <c r="O59" s="35">
        <f t="shared" si="4"/>
        <v>9999</v>
      </c>
      <c r="P59" s="35" t="s">
        <v>147</v>
      </c>
      <c r="Q59" s="35" t="str">
        <f t="shared" si="5"/>
        <v/>
      </c>
      <c r="R59" s="33" t="s">
        <v>216</v>
      </c>
      <c r="S59" s="41" t="s">
        <v>174</v>
      </c>
      <c r="T59" s="35"/>
      <c r="U59" s="35">
        <v>5058</v>
      </c>
      <c r="V59" s="35">
        <v>4</v>
      </c>
      <c r="W59" s="35" t="s">
        <v>168</v>
      </c>
      <c r="X59" s="35" t="s">
        <v>152</v>
      </c>
      <c r="Y59" s="2"/>
      <c r="Z59" s="2"/>
    </row>
    <row r="60" spans="1:26" ht="12" customHeight="1">
      <c r="A60" s="34">
        <v>57</v>
      </c>
      <c r="B60" s="35" t="s">
        <v>217</v>
      </c>
      <c r="C60" s="35" t="s">
        <v>30</v>
      </c>
      <c r="D60" s="35">
        <v>22</v>
      </c>
      <c r="E60" s="34">
        <v>22</v>
      </c>
      <c r="F60" s="34">
        <v>5</v>
      </c>
      <c r="G60" s="34">
        <v>62</v>
      </c>
      <c r="H60" s="34">
        <v>52</v>
      </c>
      <c r="I60" s="34">
        <f t="shared" si="3"/>
        <v>10</v>
      </c>
      <c r="J60" s="35" t="s">
        <v>147</v>
      </c>
      <c r="K60" s="35" t="str">
        <f>IF(COUNTIF('Draft Tracker'!$E$4:$E$147,B60)&gt;0,"Yes","No")</f>
        <v>No</v>
      </c>
      <c r="L60" s="35"/>
      <c r="M60" s="35" t="s">
        <v>20</v>
      </c>
      <c r="N60" s="35" t="s">
        <v>179</v>
      </c>
      <c r="O60" s="35">
        <f t="shared" si="4"/>
        <v>52</v>
      </c>
      <c r="P60" s="35" t="s">
        <v>0</v>
      </c>
      <c r="Q60" s="35">
        <f t="shared" si="5"/>
        <v>4</v>
      </c>
      <c r="R60" s="33" t="s">
        <v>173</v>
      </c>
      <c r="S60" s="41" t="s">
        <v>174</v>
      </c>
      <c r="T60" s="35"/>
      <c r="U60" s="35">
        <v>4980</v>
      </c>
      <c r="V60" s="35">
        <v>5</v>
      </c>
      <c r="W60" s="35" t="s">
        <v>168</v>
      </c>
      <c r="X60" s="35" t="s">
        <v>152</v>
      </c>
      <c r="Y60" s="2"/>
      <c r="Z60" s="2"/>
    </row>
    <row r="61" spans="1:26" ht="12" customHeight="1">
      <c r="A61" s="34">
        <v>58</v>
      </c>
      <c r="B61" s="35" t="s">
        <v>218</v>
      </c>
      <c r="C61" s="35" t="s">
        <v>25</v>
      </c>
      <c r="D61" s="35">
        <v>15</v>
      </c>
      <c r="E61" s="34">
        <v>17</v>
      </c>
      <c r="F61" s="34">
        <v>5</v>
      </c>
      <c r="G61" s="34">
        <v>66</v>
      </c>
      <c r="H61" s="34">
        <v>57</v>
      </c>
      <c r="I61" s="34">
        <f t="shared" si="3"/>
        <v>9</v>
      </c>
      <c r="J61" s="35" t="s">
        <v>0</v>
      </c>
      <c r="K61" s="35" t="str">
        <f>IF(COUNTIF('Draft Tracker'!$E$4:$E$147,B61)&gt;0,"Yes","No")</f>
        <v>No</v>
      </c>
      <c r="L61" s="35" t="s">
        <v>98</v>
      </c>
      <c r="M61" s="35" t="s">
        <v>145</v>
      </c>
      <c r="N61" s="35" t="s">
        <v>184</v>
      </c>
      <c r="O61" s="35">
        <f t="shared" si="4"/>
        <v>9999</v>
      </c>
      <c r="P61" s="35" t="s">
        <v>147</v>
      </c>
      <c r="Q61" s="35" t="str">
        <f t="shared" si="5"/>
        <v/>
      </c>
      <c r="R61" s="33" t="s">
        <v>216</v>
      </c>
      <c r="S61" s="41" t="s">
        <v>174</v>
      </c>
      <c r="T61" s="35"/>
      <c r="U61" s="35">
        <v>4950</v>
      </c>
      <c r="V61" s="35">
        <v>5</v>
      </c>
      <c r="W61" s="35" t="s">
        <v>168</v>
      </c>
      <c r="X61" s="35" t="s">
        <v>152</v>
      </c>
      <c r="Y61" s="2"/>
      <c r="Z61" s="2"/>
    </row>
    <row r="62" spans="1:26" ht="12" customHeight="1">
      <c r="A62" s="34">
        <v>59</v>
      </c>
      <c r="B62" s="35" t="s">
        <v>8</v>
      </c>
      <c r="C62" s="35" t="s">
        <v>28</v>
      </c>
      <c r="D62" s="35">
        <v>19</v>
      </c>
      <c r="E62" s="34">
        <v>16</v>
      </c>
      <c r="F62" s="34">
        <v>6</v>
      </c>
      <c r="G62" s="34">
        <v>64</v>
      </c>
      <c r="H62" s="34">
        <v>66</v>
      </c>
      <c r="I62" s="34">
        <f t="shared" si="3"/>
        <v>-2</v>
      </c>
      <c r="J62" s="35" t="s">
        <v>0</v>
      </c>
      <c r="K62" s="35" t="str">
        <f>IF(COUNTIF('Draft Tracker'!$E$4:$E$147,B62)&gt;0,"Yes","No")</f>
        <v>No</v>
      </c>
      <c r="L62" s="35" t="s">
        <v>3</v>
      </c>
      <c r="M62" s="35" t="s">
        <v>145</v>
      </c>
      <c r="N62" s="35" t="s">
        <v>146</v>
      </c>
      <c r="O62" s="35">
        <f t="shared" si="4"/>
        <v>9999</v>
      </c>
      <c r="P62" s="35" t="s">
        <v>147</v>
      </c>
      <c r="Q62" s="35" t="str">
        <f t="shared" si="5"/>
        <v/>
      </c>
      <c r="R62" s="33" t="s">
        <v>154</v>
      </c>
      <c r="S62" s="41" t="s">
        <v>174</v>
      </c>
      <c r="T62" s="35"/>
      <c r="U62" s="35">
        <v>4962</v>
      </c>
      <c r="V62" s="35">
        <v>6</v>
      </c>
      <c r="W62" s="35" t="s">
        <v>151</v>
      </c>
      <c r="X62" s="35" t="s">
        <v>152</v>
      </c>
      <c r="Y62" s="2"/>
      <c r="Z62" s="2"/>
    </row>
    <row r="63" spans="1:26" ht="12" customHeight="1">
      <c r="A63" s="34">
        <v>60</v>
      </c>
      <c r="B63" s="35" t="s">
        <v>219</v>
      </c>
      <c r="C63" s="35" t="s">
        <v>30</v>
      </c>
      <c r="D63" s="35">
        <v>26</v>
      </c>
      <c r="E63" s="34">
        <v>23</v>
      </c>
      <c r="F63" s="34">
        <v>6</v>
      </c>
      <c r="G63" s="34">
        <v>63</v>
      </c>
      <c r="H63" s="34">
        <v>65</v>
      </c>
      <c r="I63" s="34">
        <f t="shared" si="3"/>
        <v>-2</v>
      </c>
      <c r="J63" s="35" t="s">
        <v>0</v>
      </c>
      <c r="K63" s="35" t="str">
        <f>IF(COUNTIF('Draft Tracker'!$E$4:$E$147,B63)&gt;0,"Yes","No")</f>
        <v>No</v>
      </c>
      <c r="L63" s="35" t="s">
        <v>101</v>
      </c>
      <c r="M63" s="35" t="s">
        <v>145</v>
      </c>
      <c r="N63" s="35" t="s">
        <v>146</v>
      </c>
      <c r="O63" s="35">
        <f t="shared" si="4"/>
        <v>9999</v>
      </c>
      <c r="P63" s="35" t="s">
        <v>147</v>
      </c>
      <c r="Q63" s="35" t="str">
        <f t="shared" si="5"/>
        <v/>
      </c>
      <c r="R63" s="33" t="s">
        <v>154</v>
      </c>
      <c r="S63" s="41" t="s">
        <v>174</v>
      </c>
      <c r="T63" s="35"/>
      <c r="U63" s="35">
        <v>4967</v>
      </c>
      <c r="V63" s="35">
        <v>6</v>
      </c>
      <c r="W63" s="35" t="s">
        <v>151</v>
      </c>
      <c r="X63" s="35" t="s">
        <v>152</v>
      </c>
      <c r="Y63" s="2"/>
      <c r="Z63" s="2"/>
    </row>
    <row r="64" spans="1:26" ht="12" customHeight="1">
      <c r="A64" s="34">
        <v>61</v>
      </c>
      <c r="B64" s="35" t="s">
        <v>220</v>
      </c>
      <c r="C64" s="35" t="s">
        <v>32</v>
      </c>
      <c r="D64" s="35">
        <v>7</v>
      </c>
      <c r="E64" s="34">
        <v>5</v>
      </c>
      <c r="F64" s="34">
        <v>6</v>
      </c>
      <c r="G64" s="34">
        <v>68</v>
      </c>
      <c r="H64" s="34">
        <v>69</v>
      </c>
      <c r="I64" s="34">
        <f t="shared" si="3"/>
        <v>-1</v>
      </c>
      <c r="J64" s="35" t="s">
        <v>147</v>
      </c>
      <c r="K64" s="35" t="str">
        <f>IF(COUNTIF('Draft Tracker'!$E$4:$E$147,B64)&gt;0,"Yes","No")</f>
        <v>No</v>
      </c>
      <c r="L64" s="35"/>
      <c r="M64" s="35" t="s">
        <v>20</v>
      </c>
      <c r="N64" s="35" t="s">
        <v>221</v>
      </c>
      <c r="O64" s="35">
        <f t="shared" si="4"/>
        <v>69</v>
      </c>
      <c r="P64" s="35" t="s">
        <v>147</v>
      </c>
      <c r="Q64" s="35">
        <f t="shared" si="5"/>
        <v>13</v>
      </c>
      <c r="R64" s="33" t="s">
        <v>154</v>
      </c>
      <c r="S64" s="41" t="s">
        <v>174</v>
      </c>
      <c r="T64" s="35"/>
      <c r="U64" s="35">
        <v>4891</v>
      </c>
      <c r="V64" s="35">
        <v>6</v>
      </c>
      <c r="W64" s="35" t="s">
        <v>151</v>
      </c>
      <c r="X64" s="35" t="s">
        <v>152</v>
      </c>
      <c r="Y64" s="2"/>
      <c r="Z64" s="2"/>
    </row>
    <row r="65" spans="1:26" ht="12" customHeight="1">
      <c r="A65" s="34">
        <v>62</v>
      </c>
      <c r="B65" s="35" t="s">
        <v>222</v>
      </c>
      <c r="C65" s="35" t="s">
        <v>30</v>
      </c>
      <c r="D65" s="35">
        <v>23</v>
      </c>
      <c r="E65" s="34">
        <v>24</v>
      </c>
      <c r="F65" s="34">
        <v>5</v>
      </c>
      <c r="G65" s="34">
        <v>65</v>
      </c>
      <c r="H65" s="34">
        <v>55</v>
      </c>
      <c r="I65" s="34">
        <f t="shared" si="3"/>
        <v>10</v>
      </c>
      <c r="J65" s="35" t="s">
        <v>147</v>
      </c>
      <c r="K65" s="35" t="str">
        <f>IF(COUNTIF('Draft Tracker'!$E$4:$E$147,B65)&gt;0,"Yes","No")</f>
        <v>No</v>
      </c>
      <c r="L65" s="35"/>
      <c r="M65" s="35" t="s">
        <v>20</v>
      </c>
      <c r="N65" s="35" t="s">
        <v>223</v>
      </c>
      <c r="O65" s="35">
        <f t="shared" si="4"/>
        <v>55</v>
      </c>
      <c r="P65" s="35" t="s">
        <v>147</v>
      </c>
      <c r="Q65" s="35">
        <f t="shared" si="5"/>
        <v>7</v>
      </c>
      <c r="R65" s="33" t="s">
        <v>154</v>
      </c>
      <c r="S65" s="41" t="s">
        <v>174</v>
      </c>
      <c r="T65" s="35"/>
      <c r="U65" s="35">
        <v>4961</v>
      </c>
      <c r="V65" s="35">
        <v>5</v>
      </c>
      <c r="W65" s="35" t="s">
        <v>168</v>
      </c>
      <c r="X65" s="35" t="s">
        <v>152</v>
      </c>
      <c r="Y65" s="2"/>
      <c r="Z65" s="2"/>
    </row>
    <row r="66" spans="1:26" ht="12" customHeight="1">
      <c r="A66" s="34">
        <v>63</v>
      </c>
      <c r="B66" s="35" t="s">
        <v>224</v>
      </c>
      <c r="C66" s="35" t="s">
        <v>30</v>
      </c>
      <c r="D66" s="35">
        <v>30</v>
      </c>
      <c r="E66" s="34">
        <v>25</v>
      </c>
      <c r="F66" s="34">
        <v>6</v>
      </c>
      <c r="G66" s="34">
        <v>67</v>
      </c>
      <c r="H66" s="34">
        <v>77</v>
      </c>
      <c r="I66" s="34">
        <f t="shared" si="3"/>
        <v>-10</v>
      </c>
      <c r="J66" s="35" t="s">
        <v>147</v>
      </c>
      <c r="K66" s="35" t="str">
        <f>IF(COUNTIF('Draft Tracker'!$E$4:$E$147,B66)&gt;0,"Yes","No")</f>
        <v>No</v>
      </c>
      <c r="L66" s="35"/>
      <c r="M66" s="35" t="s">
        <v>20</v>
      </c>
      <c r="N66" s="35" t="s">
        <v>225</v>
      </c>
      <c r="O66" s="35">
        <f t="shared" si="4"/>
        <v>77</v>
      </c>
      <c r="P66" s="35" t="s">
        <v>147</v>
      </c>
      <c r="Q66" s="35">
        <f t="shared" si="5"/>
        <v>20</v>
      </c>
      <c r="R66" s="33" t="s">
        <v>154</v>
      </c>
      <c r="S66" s="41" t="s">
        <v>174</v>
      </c>
      <c r="T66" s="35"/>
      <c r="U66" s="35">
        <v>4931</v>
      </c>
      <c r="V66" s="35">
        <v>6</v>
      </c>
      <c r="W66" s="35" t="s">
        <v>156</v>
      </c>
      <c r="X66" s="35" t="s">
        <v>152</v>
      </c>
      <c r="Y66" s="2"/>
      <c r="Z66" s="2"/>
    </row>
    <row r="67" spans="1:26" ht="12" customHeight="1">
      <c r="A67" s="34">
        <v>64</v>
      </c>
      <c r="B67" s="35" t="s">
        <v>226</v>
      </c>
      <c r="C67" s="35" t="s">
        <v>30</v>
      </c>
      <c r="D67" s="35">
        <v>24</v>
      </c>
      <c r="E67" s="34">
        <v>26</v>
      </c>
      <c r="F67" s="34">
        <v>5</v>
      </c>
      <c r="G67" s="34">
        <v>73</v>
      </c>
      <c r="H67" s="34">
        <v>58</v>
      </c>
      <c r="I67" s="34">
        <f t="shared" si="3"/>
        <v>15</v>
      </c>
      <c r="J67" s="35" t="s">
        <v>147</v>
      </c>
      <c r="K67" s="35" t="str">
        <f>IF(COUNTIF('Draft Tracker'!$E$4:$E$147,B67)&gt;0,"Yes","No")</f>
        <v>No</v>
      </c>
      <c r="L67" s="35"/>
      <c r="M67" s="35" t="s">
        <v>20</v>
      </c>
      <c r="N67" s="35" t="s">
        <v>227</v>
      </c>
      <c r="O67" s="35">
        <f t="shared" si="4"/>
        <v>58</v>
      </c>
      <c r="P67" s="35" t="s">
        <v>147</v>
      </c>
      <c r="Q67" s="35">
        <f t="shared" si="5"/>
        <v>8</v>
      </c>
      <c r="R67" s="33" t="s">
        <v>148</v>
      </c>
      <c r="S67" s="41" t="s">
        <v>174</v>
      </c>
      <c r="T67" s="35"/>
      <c r="U67" s="35">
        <v>4809</v>
      </c>
      <c r="V67" s="35">
        <v>5</v>
      </c>
      <c r="W67" s="35" t="s">
        <v>168</v>
      </c>
      <c r="X67" s="35" t="s">
        <v>152</v>
      </c>
      <c r="Y67" s="2"/>
      <c r="Z67" s="2"/>
    </row>
    <row r="68" spans="1:26" ht="12" customHeight="1">
      <c r="A68" s="34">
        <v>65</v>
      </c>
      <c r="B68" s="35" t="s">
        <v>228</v>
      </c>
      <c r="C68" s="35" t="s">
        <v>30</v>
      </c>
      <c r="D68" s="35">
        <v>20</v>
      </c>
      <c r="E68" s="34">
        <v>27</v>
      </c>
      <c r="F68" s="34">
        <v>5</v>
      </c>
      <c r="G68" s="34">
        <v>61</v>
      </c>
      <c r="H68" s="34">
        <v>48</v>
      </c>
      <c r="I68" s="34">
        <f t="shared" ref="I68:I99" si="6">G68-H68</f>
        <v>13</v>
      </c>
      <c r="J68" s="35" t="s">
        <v>0</v>
      </c>
      <c r="K68" s="35" t="str">
        <f>IF(COUNTIF('Draft Tracker'!$E$4:$E$147,B68)&gt;0,"Yes","No")</f>
        <v>No</v>
      </c>
      <c r="L68" s="35" t="s">
        <v>104</v>
      </c>
      <c r="M68" s="35" t="s">
        <v>145</v>
      </c>
      <c r="N68" s="35" t="s">
        <v>179</v>
      </c>
      <c r="O68" s="35">
        <f t="shared" ref="O68:O99" si="7">IF(AND(J68="No",K68="No",H68&lt;&gt;""),H68,9999)</f>
        <v>9999</v>
      </c>
      <c r="P68" s="35" t="s">
        <v>147</v>
      </c>
      <c r="Q68" s="35" t="str">
        <f t="shared" ref="Q68:Q99" si="8">IF(J68="Yes","",COUNTIFS($J$4:$J$163,"No",$H$4:$H$163,"&lt;"&amp;H68)+1)</f>
        <v/>
      </c>
      <c r="R68" s="33" t="s">
        <v>154</v>
      </c>
      <c r="S68" s="41" t="s">
        <v>174</v>
      </c>
      <c r="T68" s="35"/>
      <c r="U68" s="35">
        <v>5010</v>
      </c>
      <c r="V68" s="35">
        <v>5</v>
      </c>
      <c r="W68" s="35" t="s">
        <v>168</v>
      </c>
      <c r="X68" s="35" t="s">
        <v>152</v>
      </c>
      <c r="Y68" s="2"/>
      <c r="Z68" s="2"/>
    </row>
    <row r="69" spans="1:26" ht="12" customHeight="1">
      <c r="A69" s="34">
        <v>66</v>
      </c>
      <c r="B69" s="35" t="s">
        <v>229</v>
      </c>
      <c r="C69" s="35" t="s">
        <v>30</v>
      </c>
      <c r="D69" s="35">
        <v>27</v>
      </c>
      <c r="E69" s="34">
        <v>28</v>
      </c>
      <c r="F69" s="34">
        <v>6</v>
      </c>
      <c r="G69" s="34">
        <v>70</v>
      </c>
      <c r="H69" s="34">
        <v>67</v>
      </c>
      <c r="I69" s="34">
        <f t="shared" si="6"/>
        <v>3</v>
      </c>
      <c r="J69" s="35" t="s">
        <v>0</v>
      </c>
      <c r="K69" s="35" t="str">
        <f>IF(COUNTIF('Draft Tracker'!$E$4:$E$147,B69)&gt;0,"Yes","No")</f>
        <v>No</v>
      </c>
      <c r="L69" s="35" t="s">
        <v>98</v>
      </c>
      <c r="M69" s="35" t="s">
        <v>145</v>
      </c>
      <c r="N69" s="35" t="s">
        <v>146</v>
      </c>
      <c r="O69" s="35">
        <f t="shared" si="7"/>
        <v>9999</v>
      </c>
      <c r="P69" s="35" t="s">
        <v>147</v>
      </c>
      <c r="Q69" s="35" t="str">
        <f t="shared" si="8"/>
        <v/>
      </c>
      <c r="R69" s="33" t="s">
        <v>154</v>
      </c>
      <c r="S69" s="41" t="s">
        <v>174</v>
      </c>
      <c r="T69" s="35"/>
      <c r="U69" s="35">
        <v>4830</v>
      </c>
      <c r="V69" s="35">
        <v>6</v>
      </c>
      <c r="W69" s="35" t="s">
        <v>168</v>
      </c>
      <c r="X69" s="35" t="s">
        <v>152</v>
      </c>
      <c r="Y69" s="2"/>
      <c r="Z69" s="2"/>
    </row>
    <row r="70" spans="1:26" ht="12" customHeight="1">
      <c r="A70" s="34">
        <v>67</v>
      </c>
      <c r="B70" s="35" t="s">
        <v>11</v>
      </c>
      <c r="C70" s="35" t="s">
        <v>25</v>
      </c>
      <c r="D70" s="35">
        <v>20</v>
      </c>
      <c r="E70" s="34">
        <v>18</v>
      </c>
      <c r="F70" s="34">
        <v>7</v>
      </c>
      <c r="G70" s="34">
        <v>71</v>
      </c>
      <c r="H70" s="34">
        <v>81</v>
      </c>
      <c r="I70" s="34">
        <f t="shared" si="6"/>
        <v>-10</v>
      </c>
      <c r="J70" s="35" t="s">
        <v>0</v>
      </c>
      <c r="K70" s="35" t="str">
        <f>IF(COUNTIF('Draft Tracker'!$E$4:$E$147,B70)&gt;0,"Yes","No")</f>
        <v>No</v>
      </c>
      <c r="L70" s="35" t="s">
        <v>2</v>
      </c>
      <c r="M70" s="35" t="s">
        <v>145</v>
      </c>
      <c r="N70" s="35" t="s">
        <v>184</v>
      </c>
      <c r="O70" s="35">
        <f t="shared" si="7"/>
        <v>9999</v>
      </c>
      <c r="P70" s="35" t="s">
        <v>147</v>
      </c>
      <c r="Q70" s="35" t="str">
        <f t="shared" si="8"/>
        <v/>
      </c>
      <c r="R70" s="33" t="s">
        <v>148</v>
      </c>
      <c r="S70" s="41" t="s">
        <v>174</v>
      </c>
      <c r="T70" s="35"/>
      <c r="U70" s="35">
        <v>4820</v>
      </c>
      <c r="V70" s="35">
        <v>7</v>
      </c>
      <c r="W70" s="35" t="s">
        <v>156</v>
      </c>
      <c r="X70" s="35" t="s">
        <v>152</v>
      </c>
      <c r="Y70" s="2"/>
      <c r="Z70" s="2"/>
    </row>
    <row r="71" spans="1:26" ht="12" customHeight="1">
      <c r="A71" s="34">
        <v>68</v>
      </c>
      <c r="B71" s="35" t="s">
        <v>230</v>
      </c>
      <c r="C71" s="35" t="s">
        <v>28</v>
      </c>
      <c r="D71" s="35">
        <v>21</v>
      </c>
      <c r="E71" s="34">
        <v>17</v>
      </c>
      <c r="F71" s="34">
        <v>6</v>
      </c>
      <c r="G71" s="34">
        <v>72</v>
      </c>
      <c r="H71" s="34">
        <v>79</v>
      </c>
      <c r="I71" s="34">
        <f t="shared" si="6"/>
        <v>-7</v>
      </c>
      <c r="J71" s="35" t="s">
        <v>147</v>
      </c>
      <c r="K71" s="35" t="str">
        <f>IF(COUNTIF('Draft Tracker'!$E$4:$E$147,B71)&gt;0,"Yes","No")</f>
        <v>No</v>
      </c>
      <c r="L71" s="35"/>
      <c r="M71" s="35" t="s">
        <v>20</v>
      </c>
      <c r="N71" s="35" t="s">
        <v>146</v>
      </c>
      <c r="O71" s="35">
        <f t="shared" si="7"/>
        <v>79</v>
      </c>
      <c r="P71" s="35" t="s">
        <v>0</v>
      </c>
      <c r="Q71" s="35">
        <f t="shared" si="8"/>
        <v>22</v>
      </c>
      <c r="R71" s="33" t="s">
        <v>173</v>
      </c>
      <c r="S71" s="41" t="s">
        <v>174</v>
      </c>
      <c r="T71" s="35"/>
      <c r="U71" s="35">
        <v>4817</v>
      </c>
      <c r="V71" s="35">
        <v>6</v>
      </c>
      <c r="W71" s="35" t="s">
        <v>156</v>
      </c>
      <c r="X71" s="35" t="s">
        <v>152</v>
      </c>
      <c r="Y71" s="2"/>
      <c r="Z71" s="2"/>
    </row>
    <row r="72" spans="1:26" ht="12" customHeight="1">
      <c r="A72" s="34">
        <v>69</v>
      </c>
      <c r="B72" s="35" t="s">
        <v>231</v>
      </c>
      <c r="C72" s="35" t="s">
        <v>32</v>
      </c>
      <c r="D72" s="35">
        <v>8</v>
      </c>
      <c r="E72" s="34">
        <v>6</v>
      </c>
      <c r="F72" s="34">
        <v>6</v>
      </c>
      <c r="G72" s="34">
        <v>75</v>
      </c>
      <c r="H72" s="34">
        <v>71</v>
      </c>
      <c r="I72" s="34">
        <f t="shared" si="6"/>
        <v>4</v>
      </c>
      <c r="J72" s="35" t="s">
        <v>147</v>
      </c>
      <c r="K72" s="35" t="str">
        <f>IF(COUNTIF('Draft Tracker'!$E$4:$E$147,B72)&gt;0,"Yes","No")</f>
        <v>No</v>
      </c>
      <c r="L72" s="35"/>
      <c r="M72" s="35" t="s">
        <v>20</v>
      </c>
      <c r="N72" s="35" t="s">
        <v>221</v>
      </c>
      <c r="O72" s="35">
        <f t="shared" si="7"/>
        <v>71</v>
      </c>
      <c r="P72" s="35" t="s">
        <v>147</v>
      </c>
      <c r="Q72" s="35">
        <f t="shared" si="8"/>
        <v>14</v>
      </c>
      <c r="R72" s="33" t="s">
        <v>154</v>
      </c>
      <c r="S72" s="41" t="s">
        <v>174</v>
      </c>
      <c r="T72" s="35"/>
      <c r="U72" s="35">
        <v>4775</v>
      </c>
      <c r="V72" s="35">
        <v>6</v>
      </c>
      <c r="W72" s="35" t="s">
        <v>168</v>
      </c>
      <c r="X72" s="35" t="s">
        <v>152</v>
      </c>
      <c r="Y72" s="2"/>
      <c r="Z72" s="2"/>
    </row>
    <row r="73" spans="1:26" ht="12" customHeight="1">
      <c r="A73" s="34">
        <v>70</v>
      </c>
      <c r="B73" s="35" t="s">
        <v>232</v>
      </c>
      <c r="C73" s="35" t="s">
        <v>28</v>
      </c>
      <c r="D73" s="35">
        <v>22</v>
      </c>
      <c r="E73" s="34">
        <v>18</v>
      </c>
      <c r="F73" s="34">
        <v>6</v>
      </c>
      <c r="G73" s="34">
        <v>74</v>
      </c>
      <c r="H73" s="34">
        <v>80</v>
      </c>
      <c r="I73" s="34">
        <f t="shared" si="6"/>
        <v>-6</v>
      </c>
      <c r="J73" s="35" t="s">
        <v>0</v>
      </c>
      <c r="K73" s="35" t="str">
        <f>IF(COUNTIF('Draft Tracker'!$E$4:$E$147,B73)&gt;0,"Yes","No")</f>
        <v>No</v>
      </c>
      <c r="L73" s="35" t="s">
        <v>98</v>
      </c>
      <c r="M73" s="35" t="s">
        <v>145</v>
      </c>
      <c r="N73" s="35" t="s">
        <v>146</v>
      </c>
      <c r="O73" s="35">
        <f t="shared" si="7"/>
        <v>9999</v>
      </c>
      <c r="P73" s="35" t="s">
        <v>147</v>
      </c>
      <c r="Q73" s="35" t="str">
        <f t="shared" si="8"/>
        <v/>
      </c>
      <c r="R73" s="33" t="s">
        <v>154</v>
      </c>
      <c r="S73" s="41" t="s">
        <v>174</v>
      </c>
      <c r="T73" s="35"/>
      <c r="U73" s="35">
        <v>4783</v>
      </c>
      <c r="V73" s="35">
        <v>6</v>
      </c>
      <c r="W73" s="35" t="s">
        <v>156</v>
      </c>
      <c r="X73" s="35" t="s">
        <v>152</v>
      </c>
      <c r="Y73" s="2"/>
      <c r="Z73" s="2"/>
    </row>
    <row r="74" spans="1:26" ht="12" customHeight="1">
      <c r="A74" s="34">
        <v>71</v>
      </c>
      <c r="B74" s="35" t="s">
        <v>233</v>
      </c>
      <c r="C74" s="35" t="s">
        <v>25</v>
      </c>
      <c r="D74" s="35">
        <v>21</v>
      </c>
      <c r="E74" s="34">
        <v>19</v>
      </c>
      <c r="F74" s="34">
        <v>7</v>
      </c>
      <c r="G74" s="34">
        <v>76</v>
      </c>
      <c r="H74" s="34">
        <v>83</v>
      </c>
      <c r="I74" s="34">
        <f t="shared" si="6"/>
        <v>-7</v>
      </c>
      <c r="J74" s="35" t="s">
        <v>147</v>
      </c>
      <c r="K74" s="35" t="str">
        <f>IF(COUNTIF('Draft Tracker'!$E$4:$E$147,B74)&gt;0,"Yes","No")</f>
        <v>No</v>
      </c>
      <c r="L74" s="35"/>
      <c r="M74" s="35" t="s">
        <v>234</v>
      </c>
      <c r="N74" s="35" t="s">
        <v>184</v>
      </c>
      <c r="O74" s="35">
        <f t="shared" si="7"/>
        <v>83</v>
      </c>
      <c r="P74" s="35" t="s">
        <v>147</v>
      </c>
      <c r="Q74" s="35">
        <f t="shared" si="8"/>
        <v>24</v>
      </c>
      <c r="R74" s="33" t="s">
        <v>154</v>
      </c>
      <c r="S74" s="41" t="s">
        <v>174</v>
      </c>
      <c r="T74" s="35"/>
      <c r="U74" s="35">
        <v>4713</v>
      </c>
      <c r="V74" s="35">
        <v>7</v>
      </c>
      <c r="W74" s="35" t="s">
        <v>156</v>
      </c>
      <c r="X74" s="35" t="s">
        <v>152</v>
      </c>
      <c r="Y74" s="2"/>
      <c r="Z74" s="2"/>
    </row>
    <row r="75" spans="1:26" ht="12" customHeight="1">
      <c r="A75" s="34">
        <v>72</v>
      </c>
      <c r="B75" s="35" t="s">
        <v>235</v>
      </c>
      <c r="C75" s="35" t="s">
        <v>25</v>
      </c>
      <c r="D75" s="35">
        <v>18</v>
      </c>
      <c r="E75" s="34">
        <v>20</v>
      </c>
      <c r="F75" s="34">
        <v>6</v>
      </c>
      <c r="G75" s="34">
        <v>78</v>
      </c>
      <c r="H75" s="34">
        <v>73</v>
      </c>
      <c r="I75" s="34">
        <f t="shared" si="6"/>
        <v>5</v>
      </c>
      <c r="J75" s="35" t="s">
        <v>147</v>
      </c>
      <c r="K75" s="35" t="str">
        <f>IF(COUNTIF('Draft Tracker'!$E$4:$E$147,B75)&gt;0,"Yes","No")</f>
        <v>No</v>
      </c>
      <c r="L75" s="35"/>
      <c r="M75" s="35" t="s">
        <v>20</v>
      </c>
      <c r="N75" s="35" t="s">
        <v>184</v>
      </c>
      <c r="O75" s="35">
        <f t="shared" si="7"/>
        <v>73</v>
      </c>
      <c r="P75" s="35" t="s">
        <v>147</v>
      </c>
      <c r="Q75" s="35">
        <f t="shared" si="8"/>
        <v>16</v>
      </c>
      <c r="R75" s="33" t="s">
        <v>216</v>
      </c>
      <c r="S75" s="41" t="s">
        <v>174</v>
      </c>
      <c r="T75" s="35"/>
      <c r="U75" s="35">
        <v>4695</v>
      </c>
      <c r="V75" s="35">
        <v>6</v>
      </c>
      <c r="W75" s="35" t="s">
        <v>168</v>
      </c>
      <c r="X75" s="35" t="s">
        <v>152</v>
      </c>
      <c r="Y75" s="2"/>
      <c r="Z75" s="2"/>
    </row>
    <row r="76" spans="1:26" ht="12" customHeight="1">
      <c r="A76" s="34">
        <v>73</v>
      </c>
      <c r="B76" s="35" t="s">
        <v>236</v>
      </c>
      <c r="C76" s="35" t="s">
        <v>25</v>
      </c>
      <c r="D76" s="35">
        <v>19</v>
      </c>
      <c r="E76" s="34">
        <v>21</v>
      </c>
      <c r="F76" s="34">
        <v>6</v>
      </c>
      <c r="G76" s="34">
        <v>79</v>
      </c>
      <c r="H76" s="34">
        <v>74</v>
      </c>
      <c r="I76" s="34">
        <f t="shared" si="6"/>
        <v>5</v>
      </c>
      <c r="J76" s="35" t="s">
        <v>147</v>
      </c>
      <c r="K76" s="35" t="str">
        <f>IF(COUNTIF('Draft Tracker'!$E$4:$E$147,B76)&gt;0,"Yes","No")</f>
        <v>No</v>
      </c>
      <c r="L76" s="35"/>
      <c r="M76" s="35" t="s">
        <v>20</v>
      </c>
      <c r="N76" s="35" t="s">
        <v>184</v>
      </c>
      <c r="O76" s="35">
        <f t="shared" si="7"/>
        <v>74</v>
      </c>
      <c r="P76" s="35" t="s">
        <v>147</v>
      </c>
      <c r="Q76" s="35">
        <f t="shared" si="8"/>
        <v>17</v>
      </c>
      <c r="R76" s="33" t="s">
        <v>216</v>
      </c>
      <c r="S76" s="41" t="s">
        <v>174</v>
      </c>
      <c r="T76" s="35"/>
      <c r="U76" s="35">
        <v>4680</v>
      </c>
      <c r="V76" s="35">
        <v>6</v>
      </c>
      <c r="W76" s="35" t="s">
        <v>168</v>
      </c>
      <c r="X76" s="35" t="s">
        <v>152</v>
      </c>
      <c r="Y76" s="2"/>
      <c r="Z76" s="2"/>
    </row>
    <row r="77" spans="1:26" ht="12" customHeight="1">
      <c r="A77" s="34">
        <v>74</v>
      </c>
      <c r="B77" s="35" t="s">
        <v>237</v>
      </c>
      <c r="C77" s="35" t="s">
        <v>30</v>
      </c>
      <c r="D77" s="35">
        <v>29</v>
      </c>
      <c r="E77" s="34">
        <v>29</v>
      </c>
      <c r="F77" s="34">
        <v>6</v>
      </c>
      <c r="G77" s="34">
        <v>77</v>
      </c>
      <c r="H77" s="34">
        <v>76</v>
      </c>
      <c r="I77" s="34">
        <f t="shared" si="6"/>
        <v>1</v>
      </c>
      <c r="J77" s="35" t="s">
        <v>147</v>
      </c>
      <c r="K77" s="35" t="str">
        <f>IF(COUNTIF('Draft Tracker'!$E$4:$E$147,B77)&gt;0,"Yes","No")</f>
        <v>No</v>
      </c>
      <c r="L77" s="35"/>
      <c r="M77" s="35" t="s">
        <v>20</v>
      </c>
      <c r="N77" s="35" t="s">
        <v>146</v>
      </c>
      <c r="O77" s="35">
        <f t="shared" si="7"/>
        <v>76</v>
      </c>
      <c r="P77" s="35" t="s">
        <v>147</v>
      </c>
      <c r="Q77" s="35">
        <f t="shared" si="8"/>
        <v>19</v>
      </c>
      <c r="R77" s="33" t="s">
        <v>154</v>
      </c>
      <c r="S77" s="41" t="s">
        <v>174</v>
      </c>
      <c r="T77" s="35"/>
      <c r="U77" s="35">
        <v>4706</v>
      </c>
      <c r="V77" s="35">
        <v>6</v>
      </c>
      <c r="W77" s="35" t="s">
        <v>151</v>
      </c>
      <c r="X77" s="35" t="s">
        <v>152</v>
      </c>
      <c r="Y77" s="2"/>
      <c r="Z77" s="2"/>
    </row>
    <row r="78" spans="1:26" ht="12" customHeight="1">
      <c r="A78" s="34">
        <v>75</v>
      </c>
      <c r="B78" s="35" t="s">
        <v>238</v>
      </c>
      <c r="C78" s="35" t="s">
        <v>28</v>
      </c>
      <c r="D78" s="35">
        <v>18</v>
      </c>
      <c r="E78" s="34">
        <v>19</v>
      </c>
      <c r="F78" s="34">
        <v>6</v>
      </c>
      <c r="G78" s="34">
        <v>80</v>
      </c>
      <c r="H78" s="34">
        <v>63</v>
      </c>
      <c r="I78" s="34">
        <f t="shared" si="6"/>
        <v>17</v>
      </c>
      <c r="J78" s="35" t="s">
        <v>0</v>
      </c>
      <c r="K78" s="35" t="str">
        <f>IF(COUNTIF('Draft Tracker'!$E$4:$E$147,B78)&gt;0,"Yes","No")</f>
        <v>No</v>
      </c>
      <c r="L78" s="35" t="s">
        <v>98</v>
      </c>
      <c r="M78" s="35" t="s">
        <v>145</v>
      </c>
      <c r="N78" s="35" t="s">
        <v>239</v>
      </c>
      <c r="O78" s="35">
        <f t="shared" si="7"/>
        <v>9999</v>
      </c>
      <c r="P78" s="35" t="s">
        <v>147</v>
      </c>
      <c r="Q78" s="35" t="str">
        <f t="shared" si="8"/>
        <v/>
      </c>
      <c r="R78" s="33" t="s">
        <v>148</v>
      </c>
      <c r="S78" s="41" t="s">
        <v>174</v>
      </c>
      <c r="T78" s="35"/>
      <c r="U78" s="35">
        <v>4671</v>
      </c>
      <c r="V78" s="35">
        <v>6</v>
      </c>
      <c r="W78" s="35" t="s">
        <v>168</v>
      </c>
      <c r="X78" s="35" t="s">
        <v>152</v>
      </c>
      <c r="Y78" s="2"/>
      <c r="Z78" s="2"/>
    </row>
    <row r="79" spans="1:26" ht="12" customHeight="1">
      <c r="A79" s="34">
        <v>76</v>
      </c>
      <c r="B79" s="35" t="s">
        <v>240</v>
      </c>
      <c r="C79" s="35" t="s">
        <v>28</v>
      </c>
      <c r="D79" s="35">
        <v>20</v>
      </c>
      <c r="E79" s="34">
        <v>20</v>
      </c>
      <c r="F79" s="34">
        <v>6</v>
      </c>
      <c r="G79" s="34">
        <v>81</v>
      </c>
      <c r="H79" s="34">
        <v>75</v>
      </c>
      <c r="I79" s="34">
        <f t="shared" si="6"/>
        <v>6</v>
      </c>
      <c r="J79" s="35" t="s">
        <v>147</v>
      </c>
      <c r="K79" s="35" t="str">
        <f>IF(COUNTIF('Draft Tracker'!$E$4:$E$147,B79)&gt;0,"Yes","No")</f>
        <v>No</v>
      </c>
      <c r="L79" s="35"/>
      <c r="M79" s="35" t="s">
        <v>20</v>
      </c>
      <c r="N79" s="35" t="s">
        <v>146</v>
      </c>
      <c r="O79" s="35">
        <f t="shared" si="7"/>
        <v>75</v>
      </c>
      <c r="P79" s="35" t="s">
        <v>147</v>
      </c>
      <c r="Q79" s="35">
        <f t="shared" si="8"/>
        <v>18</v>
      </c>
      <c r="R79" s="33" t="s">
        <v>154</v>
      </c>
      <c r="S79" s="41" t="s">
        <v>174</v>
      </c>
      <c r="T79" s="35"/>
      <c r="U79" s="35">
        <v>4619</v>
      </c>
      <c r="V79" s="35">
        <v>6</v>
      </c>
      <c r="W79" s="35" t="s">
        <v>168</v>
      </c>
      <c r="X79" s="35" t="s">
        <v>152</v>
      </c>
      <c r="Y79" s="2"/>
      <c r="Z79" s="2"/>
    </row>
    <row r="80" spans="1:26" ht="12" customHeight="1">
      <c r="A80" s="34">
        <v>77</v>
      </c>
      <c r="B80" s="35" t="s">
        <v>241</v>
      </c>
      <c r="C80" s="35" t="s">
        <v>32</v>
      </c>
      <c r="D80" s="35">
        <v>6</v>
      </c>
      <c r="E80" s="34">
        <v>7</v>
      </c>
      <c r="F80" s="34">
        <v>6</v>
      </c>
      <c r="G80" s="34">
        <v>83</v>
      </c>
      <c r="H80" s="34">
        <v>68</v>
      </c>
      <c r="I80" s="34">
        <f t="shared" si="6"/>
        <v>15</v>
      </c>
      <c r="J80" s="35" t="s">
        <v>147</v>
      </c>
      <c r="K80" s="35" t="str">
        <f>IF(COUNTIF('Draft Tracker'!$E$4:$E$147,B80)&gt;0,"Yes","No")</f>
        <v>No</v>
      </c>
      <c r="L80" s="35"/>
      <c r="M80" s="35" t="s">
        <v>20</v>
      </c>
      <c r="N80" s="35" t="s">
        <v>242</v>
      </c>
      <c r="O80" s="35">
        <f t="shared" si="7"/>
        <v>68</v>
      </c>
      <c r="P80" s="35" t="s">
        <v>147</v>
      </c>
      <c r="Q80" s="35">
        <f t="shared" si="8"/>
        <v>12</v>
      </c>
      <c r="R80" s="33" t="s">
        <v>154</v>
      </c>
      <c r="S80" s="41" t="s">
        <v>174</v>
      </c>
      <c r="T80" s="35"/>
      <c r="U80" s="35">
        <v>4596</v>
      </c>
      <c r="V80" s="35">
        <v>6</v>
      </c>
      <c r="W80" s="35" t="s">
        <v>168</v>
      </c>
      <c r="X80" s="35" t="s">
        <v>152</v>
      </c>
      <c r="Y80" s="2"/>
      <c r="Z80" s="2"/>
    </row>
    <row r="81" spans="1:26" ht="12" customHeight="1">
      <c r="A81" s="34">
        <v>78</v>
      </c>
      <c r="B81" s="35" t="s">
        <v>243</v>
      </c>
      <c r="C81" s="35" t="s">
        <v>32</v>
      </c>
      <c r="D81" s="35">
        <v>9</v>
      </c>
      <c r="E81" s="34">
        <v>8</v>
      </c>
      <c r="F81" s="34">
        <v>7</v>
      </c>
      <c r="G81" s="34">
        <v>78</v>
      </c>
      <c r="H81" s="34">
        <v>84</v>
      </c>
      <c r="I81" s="34">
        <f t="shared" si="6"/>
        <v>-6</v>
      </c>
      <c r="J81" s="35" t="s">
        <v>147</v>
      </c>
      <c r="K81" s="35" t="str">
        <f>IF(COUNTIF('Draft Tracker'!$E$4:$E$147,B81)&gt;0,"Yes","No")</f>
        <v>No</v>
      </c>
      <c r="L81" s="35"/>
      <c r="M81" s="35" t="s">
        <v>234</v>
      </c>
      <c r="N81" s="35" t="s">
        <v>221</v>
      </c>
      <c r="O81" s="35">
        <f t="shared" si="7"/>
        <v>84</v>
      </c>
      <c r="P81" s="35" t="s">
        <v>147</v>
      </c>
      <c r="Q81" s="35">
        <f t="shared" si="8"/>
        <v>25</v>
      </c>
      <c r="R81" s="33" t="s">
        <v>154</v>
      </c>
      <c r="S81" s="41" t="s">
        <v>174</v>
      </c>
      <c r="T81" s="35"/>
      <c r="U81" s="35"/>
      <c r="V81" s="35">
        <v>7</v>
      </c>
      <c r="W81" s="35" t="s">
        <v>156</v>
      </c>
      <c r="X81" s="35" t="s">
        <v>152</v>
      </c>
      <c r="Y81" s="2"/>
      <c r="Z81" s="2"/>
    </row>
    <row r="82" spans="1:26" ht="12" customHeight="1">
      <c r="A82" s="34">
        <v>79</v>
      </c>
      <c r="B82" s="35" t="s">
        <v>244</v>
      </c>
      <c r="C82" s="35" t="s">
        <v>25</v>
      </c>
      <c r="D82" s="35">
        <v>22</v>
      </c>
      <c r="E82" s="34">
        <v>22</v>
      </c>
      <c r="F82" s="34">
        <v>7</v>
      </c>
      <c r="G82" s="34">
        <v>79</v>
      </c>
      <c r="H82" s="34">
        <v>85</v>
      </c>
      <c r="I82" s="34">
        <f t="shared" si="6"/>
        <v>-6</v>
      </c>
      <c r="J82" s="35" t="s">
        <v>147</v>
      </c>
      <c r="K82" s="35" t="str">
        <f>IF(COUNTIF('Draft Tracker'!$E$4:$E$147,B82)&gt;0,"Yes","No")</f>
        <v>No</v>
      </c>
      <c r="L82" s="35"/>
      <c r="M82" s="35" t="s">
        <v>234</v>
      </c>
      <c r="N82" s="35" t="s">
        <v>184</v>
      </c>
      <c r="O82" s="35">
        <f t="shared" si="7"/>
        <v>85</v>
      </c>
      <c r="P82" s="35" t="s">
        <v>147</v>
      </c>
      <c r="Q82" s="35">
        <f t="shared" si="8"/>
        <v>26</v>
      </c>
      <c r="R82" s="33" t="s">
        <v>216</v>
      </c>
      <c r="S82" s="41" t="s">
        <v>174</v>
      </c>
      <c r="T82" s="35"/>
      <c r="U82" s="35"/>
      <c r="V82" s="35">
        <v>7</v>
      </c>
      <c r="W82" s="35" t="s">
        <v>156</v>
      </c>
      <c r="X82" s="35" t="s">
        <v>152</v>
      </c>
      <c r="Y82" s="2"/>
      <c r="Z82" s="2"/>
    </row>
    <row r="83" spans="1:26" ht="12" customHeight="1">
      <c r="A83" s="34">
        <v>80</v>
      </c>
      <c r="B83" s="35" t="s">
        <v>245</v>
      </c>
      <c r="C83" s="35" t="s">
        <v>28</v>
      </c>
      <c r="D83" s="35">
        <v>23</v>
      </c>
      <c r="E83" s="34">
        <v>21</v>
      </c>
      <c r="F83" s="34">
        <v>7</v>
      </c>
      <c r="G83" s="34">
        <v>80</v>
      </c>
      <c r="H83" s="34">
        <v>86</v>
      </c>
      <c r="I83" s="34">
        <f t="shared" si="6"/>
        <v>-6</v>
      </c>
      <c r="J83" s="35" t="s">
        <v>147</v>
      </c>
      <c r="K83" s="35" t="str">
        <f>IF(COUNTIF('Draft Tracker'!$E$4:$E$147,B83)&gt;0,"Yes","No")</f>
        <v>No</v>
      </c>
      <c r="L83" s="35"/>
      <c r="M83" s="35" t="s">
        <v>234</v>
      </c>
      <c r="N83" s="35" t="s">
        <v>146</v>
      </c>
      <c r="O83" s="35">
        <f t="shared" si="7"/>
        <v>86</v>
      </c>
      <c r="P83" s="35" t="s">
        <v>147</v>
      </c>
      <c r="Q83" s="35">
        <f t="shared" si="8"/>
        <v>27</v>
      </c>
      <c r="R83" s="33" t="s">
        <v>216</v>
      </c>
      <c r="S83" s="41" t="s">
        <v>174</v>
      </c>
      <c r="T83" s="35"/>
      <c r="U83" s="35"/>
      <c r="V83" s="35">
        <v>7</v>
      </c>
      <c r="W83" s="35" t="s">
        <v>156</v>
      </c>
      <c r="X83" s="35" t="s">
        <v>152</v>
      </c>
      <c r="Y83" s="2"/>
      <c r="Z83" s="2"/>
    </row>
    <row r="84" spans="1:26" ht="12" customHeight="1">
      <c r="A84" s="34">
        <v>81</v>
      </c>
      <c r="B84" s="35" t="s">
        <v>246</v>
      </c>
      <c r="C84" s="35" t="s">
        <v>30</v>
      </c>
      <c r="D84" s="35">
        <v>33</v>
      </c>
      <c r="E84" s="34">
        <v>30</v>
      </c>
      <c r="F84" s="34">
        <v>7</v>
      </c>
      <c r="G84" s="34">
        <v>81</v>
      </c>
      <c r="H84" s="34">
        <v>88</v>
      </c>
      <c r="I84" s="34">
        <f t="shared" si="6"/>
        <v>-7</v>
      </c>
      <c r="J84" s="35" t="s">
        <v>147</v>
      </c>
      <c r="K84" s="35" t="str">
        <f>IF(COUNTIF('Draft Tracker'!$E$4:$E$147,B84)&gt;0,"Yes","No")</f>
        <v>No</v>
      </c>
      <c r="L84" s="35"/>
      <c r="M84" s="35" t="s">
        <v>234</v>
      </c>
      <c r="N84" s="35" t="s">
        <v>146</v>
      </c>
      <c r="O84" s="35">
        <f t="shared" si="7"/>
        <v>88</v>
      </c>
      <c r="P84" s="35" t="s">
        <v>0</v>
      </c>
      <c r="Q84" s="35">
        <f t="shared" si="8"/>
        <v>29</v>
      </c>
      <c r="R84" s="33" t="s">
        <v>173</v>
      </c>
      <c r="S84" s="41" t="s">
        <v>174</v>
      </c>
      <c r="T84" s="35"/>
      <c r="U84" s="35"/>
      <c r="V84" s="35">
        <v>7</v>
      </c>
      <c r="W84" s="35" t="s">
        <v>156</v>
      </c>
      <c r="X84" s="35" t="s">
        <v>152</v>
      </c>
      <c r="Y84" s="2"/>
      <c r="Z84" s="2"/>
    </row>
    <row r="85" spans="1:26" ht="12" customHeight="1">
      <c r="A85" s="34">
        <v>82</v>
      </c>
      <c r="B85" s="35" t="s">
        <v>247</v>
      </c>
      <c r="C85" s="35" t="s">
        <v>28</v>
      </c>
      <c r="D85" s="35">
        <v>16</v>
      </c>
      <c r="E85" s="34">
        <v>22</v>
      </c>
      <c r="F85" s="34">
        <v>5</v>
      </c>
      <c r="G85" s="34">
        <v>91</v>
      </c>
      <c r="H85" s="34">
        <v>60</v>
      </c>
      <c r="I85" s="34">
        <f t="shared" si="6"/>
        <v>31</v>
      </c>
      <c r="J85" s="35" t="s">
        <v>147</v>
      </c>
      <c r="K85" s="35" t="str">
        <f>IF(COUNTIF('Draft Tracker'!$E$4:$E$147,B85)&gt;0,"Yes","No")</f>
        <v>No</v>
      </c>
      <c r="L85" s="35"/>
      <c r="M85" s="35" t="s">
        <v>20</v>
      </c>
      <c r="N85" s="35" t="s">
        <v>248</v>
      </c>
      <c r="O85" s="35">
        <f t="shared" si="7"/>
        <v>60</v>
      </c>
      <c r="P85" s="35" t="s">
        <v>147</v>
      </c>
      <c r="Q85" s="35">
        <f t="shared" si="8"/>
        <v>10</v>
      </c>
      <c r="R85" s="33" t="s">
        <v>216</v>
      </c>
      <c r="S85" s="41" t="s">
        <v>174</v>
      </c>
      <c r="T85" s="35"/>
      <c r="U85" s="35">
        <v>4064</v>
      </c>
      <c r="V85" s="35">
        <v>5</v>
      </c>
      <c r="W85" s="35" t="s">
        <v>168</v>
      </c>
      <c r="X85" s="35" t="s">
        <v>152</v>
      </c>
      <c r="Y85" s="2"/>
      <c r="Z85" s="2"/>
    </row>
    <row r="86" spans="1:26" ht="12" customHeight="1">
      <c r="A86" s="34">
        <v>83</v>
      </c>
      <c r="B86" s="35" t="s">
        <v>249</v>
      </c>
      <c r="C86" s="35" t="s">
        <v>28</v>
      </c>
      <c r="D86" s="35">
        <v>24</v>
      </c>
      <c r="E86" s="34">
        <v>23</v>
      </c>
      <c r="F86" s="34">
        <v>7</v>
      </c>
      <c r="G86" s="34">
        <v>83</v>
      </c>
      <c r="H86" s="34">
        <v>89</v>
      </c>
      <c r="I86" s="34">
        <f t="shared" si="6"/>
        <v>-6</v>
      </c>
      <c r="J86" s="35" t="s">
        <v>0</v>
      </c>
      <c r="K86" s="35" t="str">
        <f>IF(COUNTIF('Draft Tracker'!$E$4:$E$147,B86)&gt;0,"Yes","No")</f>
        <v>No</v>
      </c>
      <c r="L86" s="35" t="s">
        <v>101</v>
      </c>
      <c r="M86" s="35" t="s">
        <v>145</v>
      </c>
      <c r="N86" s="35" t="s">
        <v>146</v>
      </c>
      <c r="O86" s="35">
        <f t="shared" si="7"/>
        <v>9999</v>
      </c>
      <c r="P86" s="35" t="s">
        <v>147</v>
      </c>
      <c r="Q86" s="35" t="str">
        <f t="shared" si="8"/>
        <v/>
      </c>
      <c r="R86" s="33" t="s">
        <v>154</v>
      </c>
      <c r="S86" s="41" t="s">
        <v>174</v>
      </c>
      <c r="T86" s="35"/>
      <c r="U86" s="35"/>
      <c r="V86" s="35">
        <v>7</v>
      </c>
      <c r="W86" s="35" t="s">
        <v>156</v>
      </c>
      <c r="X86" s="35" t="s">
        <v>152</v>
      </c>
      <c r="Y86" s="2"/>
      <c r="Z86" s="2"/>
    </row>
    <row r="87" spans="1:26" ht="12" customHeight="1">
      <c r="A87" s="34">
        <v>84</v>
      </c>
      <c r="B87" s="35" t="s">
        <v>5</v>
      </c>
      <c r="C87" s="35" t="s">
        <v>28</v>
      </c>
      <c r="D87" s="35">
        <v>17</v>
      </c>
      <c r="E87" s="34">
        <v>24</v>
      </c>
      <c r="F87" s="34">
        <v>6</v>
      </c>
      <c r="G87" s="34">
        <v>90</v>
      </c>
      <c r="H87" s="34">
        <v>61</v>
      </c>
      <c r="I87" s="34">
        <f t="shared" si="6"/>
        <v>29</v>
      </c>
      <c r="J87" s="35" t="s">
        <v>0</v>
      </c>
      <c r="K87" s="35" t="str">
        <f>IF(COUNTIF('Draft Tracker'!$E$4:$E$147,B87)&gt;0,"Yes","No")</f>
        <v>No</v>
      </c>
      <c r="L87" s="35" t="s">
        <v>3</v>
      </c>
      <c r="M87" s="35" t="s">
        <v>145</v>
      </c>
      <c r="N87" s="35" t="s">
        <v>250</v>
      </c>
      <c r="O87" s="35">
        <f t="shared" si="7"/>
        <v>9999</v>
      </c>
      <c r="P87" s="35" t="s">
        <v>147</v>
      </c>
      <c r="Q87" s="35" t="str">
        <f t="shared" si="8"/>
        <v/>
      </c>
      <c r="R87" s="33" t="s">
        <v>216</v>
      </c>
      <c r="S87" s="41" t="s">
        <v>174</v>
      </c>
      <c r="T87" s="35"/>
      <c r="U87" s="35">
        <v>4073</v>
      </c>
      <c r="V87" s="35">
        <v>6</v>
      </c>
      <c r="W87" s="35" t="s">
        <v>168</v>
      </c>
      <c r="X87" s="35" t="s">
        <v>152</v>
      </c>
      <c r="Y87" s="2"/>
      <c r="Z87" s="2"/>
    </row>
    <row r="88" spans="1:26" ht="12" customHeight="1">
      <c r="A88" s="34">
        <v>85</v>
      </c>
      <c r="B88" s="35" t="s">
        <v>251</v>
      </c>
      <c r="C88" s="35" t="s">
        <v>32</v>
      </c>
      <c r="D88" s="35">
        <v>11</v>
      </c>
      <c r="E88" s="34">
        <v>9</v>
      </c>
      <c r="F88" s="34">
        <v>8</v>
      </c>
      <c r="G88" s="34">
        <v>93</v>
      </c>
      <c r="H88" s="34">
        <v>110</v>
      </c>
      <c r="I88" s="34">
        <f t="shared" si="6"/>
        <v>-17</v>
      </c>
      <c r="J88" s="35" t="s">
        <v>147</v>
      </c>
      <c r="K88" s="35" t="str">
        <f>IF(COUNTIF('Draft Tracker'!$E$4:$E$147,B88)&gt;0,"Yes","No")</f>
        <v>No</v>
      </c>
      <c r="L88" s="35"/>
      <c r="M88" s="35" t="s">
        <v>234</v>
      </c>
      <c r="N88" s="35" t="s">
        <v>252</v>
      </c>
      <c r="O88" s="35">
        <f t="shared" si="7"/>
        <v>110</v>
      </c>
      <c r="P88" s="35" t="s">
        <v>0</v>
      </c>
      <c r="Q88" s="35">
        <f t="shared" si="8"/>
        <v>49</v>
      </c>
      <c r="R88" s="33" t="s">
        <v>173</v>
      </c>
      <c r="S88" s="41" t="s">
        <v>253</v>
      </c>
      <c r="T88" s="35"/>
      <c r="U88" s="35">
        <v>4009</v>
      </c>
      <c r="V88" s="35">
        <v>8</v>
      </c>
      <c r="W88" s="35" t="s">
        <v>156</v>
      </c>
      <c r="X88" s="35" t="s">
        <v>152</v>
      </c>
      <c r="Y88" s="2"/>
      <c r="Z88" s="2"/>
    </row>
    <row r="89" spans="1:26" ht="12" customHeight="1">
      <c r="A89" s="34">
        <v>86</v>
      </c>
      <c r="B89" s="35" t="s">
        <v>254</v>
      </c>
      <c r="C89" s="35" t="s">
        <v>30</v>
      </c>
      <c r="D89" s="35">
        <v>34</v>
      </c>
      <c r="E89" s="34">
        <v>31</v>
      </c>
      <c r="F89" s="34">
        <v>7</v>
      </c>
      <c r="G89" s="34">
        <v>86</v>
      </c>
      <c r="H89" s="34">
        <v>90</v>
      </c>
      <c r="I89" s="34">
        <f t="shared" si="6"/>
        <v>-4</v>
      </c>
      <c r="J89" s="35" t="s">
        <v>147</v>
      </c>
      <c r="K89" s="35" t="str">
        <f>IF(COUNTIF('Draft Tracker'!$E$4:$E$147,B89)&gt;0,"Yes","No")</f>
        <v>No</v>
      </c>
      <c r="L89" s="35"/>
      <c r="M89" s="35" t="s">
        <v>234</v>
      </c>
      <c r="N89" s="35" t="s">
        <v>146</v>
      </c>
      <c r="O89" s="35">
        <f t="shared" si="7"/>
        <v>90</v>
      </c>
      <c r="P89" s="35" t="s">
        <v>147</v>
      </c>
      <c r="Q89" s="35">
        <f t="shared" si="8"/>
        <v>30</v>
      </c>
      <c r="R89" s="33" t="s">
        <v>154</v>
      </c>
      <c r="S89" s="41" t="s">
        <v>174</v>
      </c>
      <c r="T89" s="35"/>
      <c r="U89" s="35"/>
      <c r="V89" s="35">
        <v>7</v>
      </c>
      <c r="W89" s="35" t="s">
        <v>156</v>
      </c>
      <c r="X89" s="35" t="s">
        <v>152</v>
      </c>
      <c r="Y89" s="2"/>
      <c r="Z89" s="2"/>
    </row>
    <row r="90" spans="1:26" ht="12" customHeight="1">
      <c r="A90" s="34">
        <v>87</v>
      </c>
      <c r="B90" s="35" t="s">
        <v>255</v>
      </c>
      <c r="C90" s="35" t="s">
        <v>25</v>
      </c>
      <c r="D90" s="35">
        <v>24</v>
      </c>
      <c r="E90" s="34">
        <v>23</v>
      </c>
      <c r="F90" s="34">
        <v>7</v>
      </c>
      <c r="G90" s="34">
        <v>87</v>
      </c>
      <c r="H90" s="34">
        <v>91</v>
      </c>
      <c r="I90" s="34">
        <f t="shared" si="6"/>
        <v>-4</v>
      </c>
      <c r="J90" s="35" t="s">
        <v>147</v>
      </c>
      <c r="K90" s="35" t="str">
        <f>IF(COUNTIF('Draft Tracker'!$E$4:$E$147,B90)&gt;0,"Yes","No")</f>
        <v>No</v>
      </c>
      <c r="L90" s="35"/>
      <c r="M90" s="35" t="s">
        <v>234</v>
      </c>
      <c r="N90" s="35" t="s">
        <v>184</v>
      </c>
      <c r="O90" s="35">
        <f t="shared" si="7"/>
        <v>91</v>
      </c>
      <c r="P90" s="35" t="s">
        <v>147</v>
      </c>
      <c r="Q90" s="35">
        <f t="shared" si="8"/>
        <v>31</v>
      </c>
      <c r="R90" s="33" t="s">
        <v>154</v>
      </c>
      <c r="S90" s="41" t="s">
        <v>253</v>
      </c>
      <c r="T90" s="35"/>
      <c r="U90" s="35"/>
      <c r="V90" s="35">
        <v>7</v>
      </c>
      <c r="W90" s="35" t="s">
        <v>156</v>
      </c>
      <c r="X90" s="35" t="s">
        <v>152</v>
      </c>
      <c r="Y90" s="2"/>
      <c r="Z90" s="2"/>
    </row>
    <row r="91" spans="1:26" ht="12" customHeight="1">
      <c r="A91" s="34">
        <v>88</v>
      </c>
      <c r="B91" s="35" t="s">
        <v>256</v>
      </c>
      <c r="C91" s="35" t="s">
        <v>25</v>
      </c>
      <c r="D91" s="35">
        <v>23</v>
      </c>
      <c r="E91" s="34">
        <v>24</v>
      </c>
      <c r="F91" s="34">
        <v>7</v>
      </c>
      <c r="G91" s="34">
        <v>95</v>
      </c>
      <c r="H91" s="34">
        <v>87</v>
      </c>
      <c r="I91" s="34">
        <f t="shared" si="6"/>
        <v>8</v>
      </c>
      <c r="J91" s="35" t="s">
        <v>147</v>
      </c>
      <c r="K91" s="35" t="str">
        <f>IF(COUNTIF('Draft Tracker'!$E$4:$E$147,B91)&gt;0,"Yes","No")</f>
        <v>No</v>
      </c>
      <c r="L91" s="35"/>
      <c r="M91" s="35" t="s">
        <v>234</v>
      </c>
      <c r="N91" s="35" t="s">
        <v>184</v>
      </c>
      <c r="O91" s="35">
        <f t="shared" si="7"/>
        <v>87</v>
      </c>
      <c r="P91" s="35" t="s">
        <v>147</v>
      </c>
      <c r="Q91" s="35">
        <f t="shared" si="8"/>
        <v>28</v>
      </c>
      <c r="R91" s="33" t="s">
        <v>154</v>
      </c>
      <c r="S91" s="41" t="s">
        <v>174</v>
      </c>
      <c r="T91" s="35"/>
      <c r="U91" s="35">
        <v>3950</v>
      </c>
      <c r="V91" s="35">
        <v>7</v>
      </c>
      <c r="W91" s="35" t="s">
        <v>168</v>
      </c>
      <c r="X91" s="35" t="s">
        <v>152</v>
      </c>
      <c r="Y91" s="2"/>
      <c r="Z91" s="2"/>
    </row>
    <row r="92" spans="1:26" ht="12" customHeight="1">
      <c r="A92" s="34">
        <v>89</v>
      </c>
      <c r="B92" s="35" t="s">
        <v>257</v>
      </c>
      <c r="C92" s="35" t="s">
        <v>25</v>
      </c>
      <c r="D92" s="35">
        <v>25</v>
      </c>
      <c r="E92" s="34">
        <v>25</v>
      </c>
      <c r="F92" s="34">
        <v>7</v>
      </c>
      <c r="G92" s="34">
        <v>89</v>
      </c>
      <c r="H92" s="34">
        <v>92</v>
      </c>
      <c r="I92" s="34">
        <f t="shared" si="6"/>
        <v>-3</v>
      </c>
      <c r="J92" s="35" t="s">
        <v>147</v>
      </c>
      <c r="K92" s="35" t="str">
        <f>IF(COUNTIF('Draft Tracker'!$E$4:$E$147,B92)&gt;0,"Yes","No")</f>
        <v>No</v>
      </c>
      <c r="L92" s="35"/>
      <c r="M92" s="35" t="s">
        <v>234</v>
      </c>
      <c r="N92" s="35" t="s">
        <v>184</v>
      </c>
      <c r="O92" s="35">
        <f t="shared" si="7"/>
        <v>92</v>
      </c>
      <c r="P92" s="35" t="s">
        <v>147</v>
      </c>
      <c r="Q92" s="35">
        <f t="shared" si="8"/>
        <v>32</v>
      </c>
      <c r="R92" s="33" t="s">
        <v>154</v>
      </c>
      <c r="S92" s="41" t="s">
        <v>253</v>
      </c>
      <c r="T92" s="35"/>
      <c r="U92" s="35"/>
      <c r="V92" s="35">
        <v>7</v>
      </c>
      <c r="W92" s="35" t="s">
        <v>156</v>
      </c>
      <c r="X92" s="35" t="s">
        <v>152</v>
      </c>
      <c r="Y92" s="2"/>
      <c r="Z92" s="2"/>
    </row>
    <row r="93" spans="1:26" ht="12" customHeight="1">
      <c r="A93" s="34">
        <v>90</v>
      </c>
      <c r="B93" s="35" t="s">
        <v>258</v>
      </c>
      <c r="C93" s="35" t="s">
        <v>30</v>
      </c>
      <c r="D93" s="35">
        <v>35</v>
      </c>
      <c r="E93" s="34">
        <v>32</v>
      </c>
      <c r="F93" s="34">
        <v>7</v>
      </c>
      <c r="G93" s="34">
        <v>90</v>
      </c>
      <c r="H93" s="34">
        <v>93</v>
      </c>
      <c r="I93" s="34">
        <f t="shared" si="6"/>
        <v>-3</v>
      </c>
      <c r="J93" s="35" t="s">
        <v>147</v>
      </c>
      <c r="K93" s="35" t="str">
        <f>IF(COUNTIF('Draft Tracker'!$E$4:$E$147,B93)&gt;0,"Yes","No")</f>
        <v>No</v>
      </c>
      <c r="L93" s="35"/>
      <c r="M93" s="35" t="s">
        <v>234</v>
      </c>
      <c r="N93" s="35" t="s">
        <v>146</v>
      </c>
      <c r="O93" s="35">
        <f t="shared" si="7"/>
        <v>93</v>
      </c>
      <c r="P93" s="35" t="s">
        <v>147</v>
      </c>
      <c r="Q93" s="35">
        <f t="shared" si="8"/>
        <v>33</v>
      </c>
      <c r="R93" s="33" t="s">
        <v>154</v>
      </c>
      <c r="S93" s="41" t="s">
        <v>253</v>
      </c>
      <c r="T93" s="35"/>
      <c r="U93" s="35"/>
      <c r="V93" s="35">
        <v>7</v>
      </c>
      <c r="W93" s="35" t="s">
        <v>156</v>
      </c>
      <c r="X93" s="35" t="s">
        <v>152</v>
      </c>
      <c r="Y93" s="2"/>
      <c r="Z93" s="2"/>
    </row>
    <row r="94" spans="1:26" ht="12" customHeight="1">
      <c r="A94" s="34">
        <v>91</v>
      </c>
      <c r="B94" s="35" t="s">
        <v>259</v>
      </c>
      <c r="C94" s="35" t="s">
        <v>25</v>
      </c>
      <c r="D94" s="35">
        <v>26</v>
      </c>
      <c r="E94" s="34">
        <v>26</v>
      </c>
      <c r="F94" s="34">
        <v>7</v>
      </c>
      <c r="G94" s="34">
        <v>91</v>
      </c>
      <c r="H94" s="34">
        <v>94</v>
      </c>
      <c r="I94" s="34">
        <f t="shared" si="6"/>
        <v>-3</v>
      </c>
      <c r="J94" s="35" t="s">
        <v>147</v>
      </c>
      <c r="K94" s="35" t="str">
        <f>IF(COUNTIF('Draft Tracker'!$E$4:$E$147,B94)&gt;0,"Yes","No")</f>
        <v>No</v>
      </c>
      <c r="L94" s="35"/>
      <c r="M94" s="35" t="s">
        <v>234</v>
      </c>
      <c r="N94" s="35" t="s">
        <v>184</v>
      </c>
      <c r="O94" s="35">
        <f t="shared" si="7"/>
        <v>94</v>
      </c>
      <c r="P94" s="35" t="s">
        <v>147</v>
      </c>
      <c r="Q94" s="35">
        <f t="shared" si="8"/>
        <v>34</v>
      </c>
      <c r="R94" s="33" t="s">
        <v>216</v>
      </c>
      <c r="S94" s="41" t="s">
        <v>253</v>
      </c>
      <c r="T94" s="35"/>
      <c r="U94" s="35"/>
      <c r="V94" s="35">
        <v>7</v>
      </c>
      <c r="W94" s="35" t="s">
        <v>156</v>
      </c>
      <c r="X94" s="35" t="s">
        <v>152</v>
      </c>
      <c r="Y94" s="2"/>
      <c r="Z94" s="2"/>
    </row>
    <row r="95" spans="1:26" ht="12" customHeight="1">
      <c r="A95" s="34">
        <v>92</v>
      </c>
      <c r="B95" s="35" t="s">
        <v>260</v>
      </c>
      <c r="C95" s="35" t="s">
        <v>30</v>
      </c>
      <c r="D95" s="35">
        <v>36</v>
      </c>
      <c r="E95" s="34">
        <v>33</v>
      </c>
      <c r="F95" s="34">
        <v>7</v>
      </c>
      <c r="G95" s="34">
        <v>92</v>
      </c>
      <c r="H95" s="34">
        <v>95</v>
      </c>
      <c r="I95" s="34">
        <f t="shared" si="6"/>
        <v>-3</v>
      </c>
      <c r="J95" s="35" t="s">
        <v>147</v>
      </c>
      <c r="K95" s="35" t="str">
        <f>IF(COUNTIF('Draft Tracker'!$E$4:$E$147,B95)&gt;0,"Yes","No")</f>
        <v>No</v>
      </c>
      <c r="L95" s="35"/>
      <c r="M95" s="35" t="s">
        <v>234</v>
      </c>
      <c r="N95" s="35" t="s">
        <v>146</v>
      </c>
      <c r="O95" s="35">
        <f t="shared" si="7"/>
        <v>95</v>
      </c>
      <c r="P95" s="35" t="s">
        <v>147</v>
      </c>
      <c r="Q95" s="35">
        <f t="shared" si="8"/>
        <v>35</v>
      </c>
      <c r="R95" s="33" t="s">
        <v>154</v>
      </c>
      <c r="S95" s="41" t="s">
        <v>253</v>
      </c>
      <c r="T95" s="35"/>
      <c r="U95" s="35"/>
      <c r="V95" s="35">
        <v>7</v>
      </c>
      <c r="W95" s="35" t="s">
        <v>156</v>
      </c>
      <c r="X95" s="35" t="s">
        <v>152</v>
      </c>
      <c r="Y95" s="2"/>
      <c r="Z95" s="2"/>
    </row>
    <row r="96" spans="1:26" ht="12" customHeight="1">
      <c r="A96" s="34">
        <v>93</v>
      </c>
      <c r="B96" s="35" t="s">
        <v>261</v>
      </c>
      <c r="C96" s="35" t="s">
        <v>25</v>
      </c>
      <c r="D96" s="35">
        <v>27</v>
      </c>
      <c r="E96" s="34">
        <v>27</v>
      </c>
      <c r="F96" s="34">
        <v>7</v>
      </c>
      <c r="G96" s="34">
        <v>93</v>
      </c>
      <c r="H96" s="34">
        <v>96</v>
      </c>
      <c r="I96" s="34">
        <f t="shared" si="6"/>
        <v>-3</v>
      </c>
      <c r="J96" s="35" t="s">
        <v>147</v>
      </c>
      <c r="K96" s="35" t="str">
        <f>IF(COUNTIF('Draft Tracker'!$E$4:$E$147,B96)&gt;0,"Yes","No")</f>
        <v>No</v>
      </c>
      <c r="L96" s="35"/>
      <c r="M96" s="35" t="s">
        <v>234</v>
      </c>
      <c r="N96" s="35" t="s">
        <v>184</v>
      </c>
      <c r="O96" s="35">
        <f t="shared" si="7"/>
        <v>96</v>
      </c>
      <c r="P96" s="35" t="s">
        <v>147</v>
      </c>
      <c r="Q96" s="35">
        <f t="shared" si="8"/>
        <v>36</v>
      </c>
      <c r="R96" s="33" t="s">
        <v>154</v>
      </c>
      <c r="S96" s="41" t="s">
        <v>253</v>
      </c>
      <c r="T96" s="35"/>
      <c r="U96" s="35"/>
      <c r="V96" s="35">
        <v>7</v>
      </c>
      <c r="W96" s="35" t="s">
        <v>156</v>
      </c>
      <c r="X96" s="35" t="s">
        <v>152</v>
      </c>
      <c r="Y96" s="2"/>
      <c r="Z96" s="2"/>
    </row>
    <row r="97" spans="1:26" ht="12" customHeight="1">
      <c r="A97" s="34">
        <v>94</v>
      </c>
      <c r="B97" s="35" t="s">
        <v>262</v>
      </c>
      <c r="C97" s="35" t="s">
        <v>28</v>
      </c>
      <c r="D97" s="35">
        <v>25</v>
      </c>
      <c r="E97" s="34">
        <v>25</v>
      </c>
      <c r="F97" s="34">
        <v>7</v>
      </c>
      <c r="G97" s="34">
        <v>94</v>
      </c>
      <c r="H97" s="34">
        <v>97</v>
      </c>
      <c r="I97" s="34">
        <f t="shared" si="6"/>
        <v>-3</v>
      </c>
      <c r="J97" s="35" t="s">
        <v>147</v>
      </c>
      <c r="K97" s="35" t="str">
        <f>IF(COUNTIF('Draft Tracker'!$E$4:$E$147,B97)&gt;0,"Yes","No")</f>
        <v>No</v>
      </c>
      <c r="L97" s="35"/>
      <c r="M97" s="35" t="s">
        <v>234</v>
      </c>
      <c r="N97" s="35" t="s">
        <v>146</v>
      </c>
      <c r="O97" s="35">
        <f t="shared" si="7"/>
        <v>97</v>
      </c>
      <c r="P97" s="35" t="s">
        <v>147</v>
      </c>
      <c r="Q97" s="35">
        <f t="shared" si="8"/>
        <v>37</v>
      </c>
      <c r="R97" s="33" t="s">
        <v>154</v>
      </c>
      <c r="S97" s="41" t="s">
        <v>253</v>
      </c>
      <c r="T97" s="35"/>
      <c r="U97" s="35"/>
      <c r="V97" s="35">
        <v>7</v>
      </c>
      <c r="W97" s="35" t="s">
        <v>156</v>
      </c>
      <c r="X97" s="35" t="s">
        <v>152</v>
      </c>
      <c r="Y97" s="2"/>
      <c r="Z97" s="2"/>
    </row>
    <row r="98" spans="1:26" ht="12" customHeight="1">
      <c r="A98" s="34">
        <v>95</v>
      </c>
      <c r="B98" s="35" t="s">
        <v>263</v>
      </c>
      <c r="C98" s="35" t="s">
        <v>30</v>
      </c>
      <c r="D98" s="35">
        <v>37</v>
      </c>
      <c r="E98" s="34">
        <v>34</v>
      </c>
      <c r="F98" s="34">
        <v>7</v>
      </c>
      <c r="G98" s="34">
        <v>95</v>
      </c>
      <c r="H98" s="34">
        <v>98</v>
      </c>
      <c r="I98" s="34">
        <f t="shared" si="6"/>
        <v>-3</v>
      </c>
      <c r="J98" s="35" t="s">
        <v>147</v>
      </c>
      <c r="K98" s="35" t="str">
        <f>IF(COUNTIF('Draft Tracker'!$E$4:$E$147,B98)&gt;0,"Yes","No")</f>
        <v>No</v>
      </c>
      <c r="L98" s="35"/>
      <c r="M98" s="35" t="s">
        <v>234</v>
      </c>
      <c r="N98" s="35" t="s">
        <v>146</v>
      </c>
      <c r="O98" s="35">
        <f t="shared" si="7"/>
        <v>98</v>
      </c>
      <c r="P98" s="35" t="s">
        <v>147</v>
      </c>
      <c r="Q98" s="35">
        <f t="shared" si="8"/>
        <v>38</v>
      </c>
      <c r="R98" s="33" t="s">
        <v>154</v>
      </c>
      <c r="S98" s="41" t="s">
        <v>253</v>
      </c>
      <c r="T98" s="35"/>
      <c r="U98" s="35"/>
      <c r="V98" s="35">
        <v>7</v>
      </c>
      <c r="W98" s="35" t="s">
        <v>156</v>
      </c>
      <c r="X98" s="35" t="s">
        <v>152</v>
      </c>
      <c r="Y98" s="2"/>
      <c r="Z98" s="2"/>
    </row>
    <row r="99" spans="1:26" ht="12" customHeight="1">
      <c r="A99" s="34">
        <v>96</v>
      </c>
      <c r="B99" s="35" t="s">
        <v>264</v>
      </c>
      <c r="C99" s="35" t="s">
        <v>30</v>
      </c>
      <c r="D99" s="35">
        <v>38</v>
      </c>
      <c r="E99" s="34">
        <v>35</v>
      </c>
      <c r="F99" s="34">
        <v>7</v>
      </c>
      <c r="G99" s="34">
        <v>96</v>
      </c>
      <c r="H99" s="34">
        <v>99</v>
      </c>
      <c r="I99" s="34">
        <f t="shared" si="6"/>
        <v>-3</v>
      </c>
      <c r="J99" s="35" t="s">
        <v>147</v>
      </c>
      <c r="K99" s="35" t="str">
        <f>IF(COUNTIF('Draft Tracker'!$E$4:$E$147,B99)&gt;0,"Yes","No")</f>
        <v>No</v>
      </c>
      <c r="L99" s="35"/>
      <c r="M99" s="35" t="s">
        <v>234</v>
      </c>
      <c r="N99" s="35" t="s">
        <v>146</v>
      </c>
      <c r="O99" s="35">
        <f t="shared" si="7"/>
        <v>99</v>
      </c>
      <c r="P99" s="35" t="s">
        <v>147</v>
      </c>
      <c r="Q99" s="35">
        <f t="shared" si="8"/>
        <v>39</v>
      </c>
      <c r="R99" s="33" t="s">
        <v>154</v>
      </c>
      <c r="S99" s="41" t="s">
        <v>253</v>
      </c>
      <c r="T99" s="35"/>
      <c r="U99" s="35"/>
      <c r="V99" s="35">
        <v>7</v>
      </c>
      <c r="W99" s="35" t="s">
        <v>156</v>
      </c>
      <c r="X99" s="35" t="s">
        <v>152</v>
      </c>
      <c r="Y99" s="2"/>
      <c r="Z99" s="2"/>
    </row>
    <row r="100" spans="1:26" ht="12" customHeight="1">
      <c r="A100" s="34">
        <v>97</v>
      </c>
      <c r="B100" s="35" t="s">
        <v>6</v>
      </c>
      <c r="C100" s="35" t="s">
        <v>30</v>
      </c>
      <c r="D100" s="35">
        <v>28</v>
      </c>
      <c r="E100" s="34">
        <v>36</v>
      </c>
      <c r="F100" s="34">
        <v>6</v>
      </c>
      <c r="G100" s="34">
        <v>97</v>
      </c>
      <c r="H100" s="34">
        <v>70</v>
      </c>
      <c r="I100" s="34">
        <f t="shared" ref="I100:I131" si="9">G100-H100</f>
        <v>27</v>
      </c>
      <c r="J100" s="35" t="s">
        <v>0</v>
      </c>
      <c r="K100" s="35" t="str">
        <f>IF(COUNTIF('Draft Tracker'!$E$4:$E$147,B100)&gt;0,"Yes","No")</f>
        <v>No</v>
      </c>
      <c r="L100" s="35" t="s">
        <v>3</v>
      </c>
      <c r="M100" s="35" t="s">
        <v>145</v>
      </c>
      <c r="N100" s="35" t="s">
        <v>265</v>
      </c>
      <c r="O100" s="35">
        <f t="shared" ref="O100:O131" si="10">IF(AND(J100="No",K100="No",H100&lt;&gt;""),H100,9999)</f>
        <v>9999</v>
      </c>
      <c r="P100" s="35" t="s">
        <v>147</v>
      </c>
      <c r="Q100" s="35" t="str">
        <f t="shared" ref="Q100:Q131" si="11">IF(J100="Yes","",COUNTIFS($J$4:$J$163,"No",$H$4:$H$163,"&lt;"&amp;H100)+1)</f>
        <v/>
      </c>
      <c r="R100" s="33" t="s">
        <v>216</v>
      </c>
      <c r="S100" s="41" t="s">
        <v>174</v>
      </c>
      <c r="T100" s="35"/>
      <c r="U100" s="35"/>
      <c r="V100" s="35">
        <v>6</v>
      </c>
      <c r="W100" s="35" t="s">
        <v>168</v>
      </c>
      <c r="X100" s="35" t="s">
        <v>152</v>
      </c>
      <c r="Y100" s="2"/>
      <c r="Z100" s="2"/>
    </row>
    <row r="101" spans="1:26" ht="12" customHeight="1">
      <c r="A101" s="34">
        <v>98</v>
      </c>
      <c r="B101" s="35" t="s">
        <v>266</v>
      </c>
      <c r="C101" s="35" t="s">
        <v>30</v>
      </c>
      <c r="D101" s="35">
        <v>39</v>
      </c>
      <c r="E101" s="34">
        <v>37</v>
      </c>
      <c r="F101" s="34">
        <v>7</v>
      </c>
      <c r="G101" s="34">
        <v>98</v>
      </c>
      <c r="H101" s="34">
        <v>100</v>
      </c>
      <c r="I101" s="34">
        <f t="shared" si="9"/>
        <v>-2</v>
      </c>
      <c r="J101" s="35" t="s">
        <v>147</v>
      </c>
      <c r="K101" s="35" t="str">
        <f>IF(COUNTIF('Draft Tracker'!$E$4:$E$147,B101)&gt;0,"Yes","No")</f>
        <v>No</v>
      </c>
      <c r="L101" s="35"/>
      <c r="M101" s="35" t="s">
        <v>234</v>
      </c>
      <c r="N101" s="35" t="s">
        <v>146</v>
      </c>
      <c r="O101" s="35">
        <f t="shared" si="10"/>
        <v>100</v>
      </c>
      <c r="P101" s="35" t="s">
        <v>147</v>
      </c>
      <c r="Q101" s="35">
        <f t="shared" si="11"/>
        <v>40</v>
      </c>
      <c r="R101" s="33" t="s">
        <v>154</v>
      </c>
      <c r="S101" s="41" t="s">
        <v>253</v>
      </c>
      <c r="T101" s="35"/>
      <c r="U101" s="35"/>
      <c r="V101" s="35">
        <v>7</v>
      </c>
      <c r="W101" s="35" t="s">
        <v>151</v>
      </c>
      <c r="X101" s="35" t="s">
        <v>152</v>
      </c>
      <c r="Y101" s="2"/>
      <c r="Z101" s="2"/>
    </row>
    <row r="102" spans="1:26" ht="12" customHeight="1">
      <c r="A102" s="34">
        <v>99</v>
      </c>
      <c r="B102" s="35" t="s">
        <v>267</v>
      </c>
      <c r="C102" s="35" t="s">
        <v>30</v>
      </c>
      <c r="D102" s="35">
        <v>40</v>
      </c>
      <c r="E102" s="34">
        <v>38</v>
      </c>
      <c r="F102" s="34">
        <v>8</v>
      </c>
      <c r="G102" s="34">
        <v>99</v>
      </c>
      <c r="H102" s="34">
        <v>101</v>
      </c>
      <c r="I102" s="34">
        <f t="shared" si="9"/>
        <v>-2</v>
      </c>
      <c r="J102" s="35" t="s">
        <v>147</v>
      </c>
      <c r="K102" s="35" t="str">
        <f>IF(COUNTIF('Draft Tracker'!$E$4:$E$147,B102)&gt;0,"Yes","No")</f>
        <v>No</v>
      </c>
      <c r="L102" s="35"/>
      <c r="M102" s="35" t="s">
        <v>234</v>
      </c>
      <c r="N102" s="35" t="s">
        <v>146</v>
      </c>
      <c r="O102" s="35">
        <f t="shared" si="10"/>
        <v>101</v>
      </c>
      <c r="P102" s="35" t="s">
        <v>0</v>
      </c>
      <c r="Q102" s="35">
        <f t="shared" si="11"/>
        <v>41</v>
      </c>
      <c r="R102" s="33" t="s">
        <v>173</v>
      </c>
      <c r="S102" s="41" t="s">
        <v>253</v>
      </c>
      <c r="T102" s="35"/>
      <c r="U102" s="35"/>
      <c r="V102" s="35">
        <v>8</v>
      </c>
      <c r="W102" s="35" t="s">
        <v>151</v>
      </c>
      <c r="X102" s="35" t="s">
        <v>152</v>
      </c>
      <c r="Y102" s="2"/>
      <c r="Z102" s="2"/>
    </row>
    <row r="103" spans="1:26" ht="12" customHeight="1">
      <c r="A103" s="34">
        <v>100</v>
      </c>
      <c r="B103" s="35" t="s">
        <v>268</v>
      </c>
      <c r="C103" s="35" t="s">
        <v>30</v>
      </c>
      <c r="D103" s="35">
        <v>41</v>
      </c>
      <c r="E103" s="34">
        <v>39</v>
      </c>
      <c r="F103" s="34">
        <v>8</v>
      </c>
      <c r="G103" s="34">
        <v>100</v>
      </c>
      <c r="H103" s="34">
        <v>102</v>
      </c>
      <c r="I103" s="34">
        <f t="shared" si="9"/>
        <v>-2</v>
      </c>
      <c r="J103" s="35" t="s">
        <v>147</v>
      </c>
      <c r="K103" s="35" t="str">
        <f>IF(COUNTIF('Draft Tracker'!$E$4:$E$147,B103)&gt;0,"Yes","No")</f>
        <v>No</v>
      </c>
      <c r="L103" s="35"/>
      <c r="M103" s="35" t="s">
        <v>234</v>
      </c>
      <c r="N103" s="35" t="s">
        <v>146</v>
      </c>
      <c r="O103" s="35">
        <f t="shared" si="10"/>
        <v>102</v>
      </c>
      <c r="P103" s="35" t="s">
        <v>147</v>
      </c>
      <c r="Q103" s="35">
        <f t="shared" si="11"/>
        <v>42</v>
      </c>
      <c r="R103" s="33" t="s">
        <v>154</v>
      </c>
      <c r="S103" s="41" t="s">
        <v>253</v>
      </c>
      <c r="T103" s="35"/>
      <c r="U103" s="35"/>
      <c r="V103" s="35">
        <v>8</v>
      </c>
      <c r="W103" s="35" t="s">
        <v>151</v>
      </c>
      <c r="X103" s="35" t="s">
        <v>152</v>
      </c>
      <c r="Y103" s="2"/>
      <c r="Z103" s="2"/>
    </row>
    <row r="104" spans="1:26" ht="12" customHeight="1">
      <c r="A104" s="34">
        <v>101</v>
      </c>
      <c r="B104" s="35" t="s">
        <v>269</v>
      </c>
      <c r="C104" s="35" t="s">
        <v>30</v>
      </c>
      <c r="D104" s="35">
        <v>42</v>
      </c>
      <c r="E104" s="34">
        <v>40</v>
      </c>
      <c r="F104" s="34">
        <v>8</v>
      </c>
      <c r="G104" s="34">
        <v>101</v>
      </c>
      <c r="H104" s="34">
        <v>103</v>
      </c>
      <c r="I104" s="34">
        <f t="shared" si="9"/>
        <v>-2</v>
      </c>
      <c r="J104" s="35" t="s">
        <v>147</v>
      </c>
      <c r="K104" s="35" t="str">
        <f>IF(COUNTIF('Draft Tracker'!$E$4:$E$147,B104)&gt;0,"Yes","No")</f>
        <v>No</v>
      </c>
      <c r="L104" s="35"/>
      <c r="M104" s="35" t="s">
        <v>234</v>
      </c>
      <c r="N104" s="35" t="s">
        <v>146</v>
      </c>
      <c r="O104" s="35">
        <f t="shared" si="10"/>
        <v>103</v>
      </c>
      <c r="P104" s="35" t="s">
        <v>147</v>
      </c>
      <c r="Q104" s="35">
        <f t="shared" si="11"/>
        <v>43</v>
      </c>
      <c r="R104" s="33" t="s">
        <v>216</v>
      </c>
      <c r="S104" s="41" t="s">
        <v>253</v>
      </c>
      <c r="T104" s="35"/>
      <c r="U104" s="35"/>
      <c r="V104" s="35">
        <v>8</v>
      </c>
      <c r="W104" s="35" t="s">
        <v>151</v>
      </c>
      <c r="X104" s="35" t="s">
        <v>152</v>
      </c>
      <c r="Y104" s="2"/>
      <c r="Z104" s="2"/>
    </row>
    <row r="105" spans="1:26" ht="12" customHeight="1">
      <c r="A105" s="34">
        <v>102</v>
      </c>
      <c r="B105" s="35" t="s">
        <v>270</v>
      </c>
      <c r="C105" s="35" t="s">
        <v>32</v>
      </c>
      <c r="D105" s="35">
        <v>10</v>
      </c>
      <c r="E105" s="34">
        <v>10</v>
      </c>
      <c r="F105" s="34">
        <v>8</v>
      </c>
      <c r="G105" s="34">
        <v>102</v>
      </c>
      <c r="H105" s="34">
        <v>104</v>
      </c>
      <c r="I105" s="34">
        <f t="shared" si="9"/>
        <v>-2</v>
      </c>
      <c r="J105" s="35" t="s">
        <v>147</v>
      </c>
      <c r="K105" s="35" t="str">
        <f>IF(COUNTIF('Draft Tracker'!$E$4:$E$147,B105)&gt;0,"Yes","No")</f>
        <v>No</v>
      </c>
      <c r="L105" s="35"/>
      <c r="M105" s="35" t="s">
        <v>234</v>
      </c>
      <c r="N105" s="35" t="s">
        <v>221</v>
      </c>
      <c r="O105" s="35">
        <f t="shared" si="10"/>
        <v>104</v>
      </c>
      <c r="P105" s="35" t="s">
        <v>147</v>
      </c>
      <c r="Q105" s="35">
        <f t="shared" si="11"/>
        <v>44</v>
      </c>
      <c r="R105" s="33" t="s">
        <v>154</v>
      </c>
      <c r="S105" s="41" t="s">
        <v>253</v>
      </c>
      <c r="T105" s="35"/>
      <c r="U105" s="35"/>
      <c r="V105" s="35">
        <v>8</v>
      </c>
      <c r="W105" s="35" t="s">
        <v>151</v>
      </c>
      <c r="X105" s="35" t="s">
        <v>152</v>
      </c>
      <c r="Y105" s="2"/>
      <c r="Z105" s="2"/>
    </row>
    <row r="106" spans="1:26" ht="12" customHeight="1">
      <c r="A106" s="34">
        <v>103</v>
      </c>
      <c r="B106" s="35" t="s">
        <v>271</v>
      </c>
      <c r="C106" s="35" t="s">
        <v>30</v>
      </c>
      <c r="D106" s="35">
        <v>43</v>
      </c>
      <c r="E106" s="34">
        <v>41</v>
      </c>
      <c r="F106" s="34">
        <v>8</v>
      </c>
      <c r="G106" s="34">
        <v>103</v>
      </c>
      <c r="H106" s="34">
        <v>105</v>
      </c>
      <c r="I106" s="34">
        <f t="shared" si="9"/>
        <v>-2</v>
      </c>
      <c r="J106" s="35" t="s">
        <v>0</v>
      </c>
      <c r="K106" s="35" t="str">
        <f>IF(COUNTIF('Draft Tracker'!$E$4:$E$147,B106)&gt;0,"Yes","No")</f>
        <v>No</v>
      </c>
      <c r="L106" s="35" t="s">
        <v>104</v>
      </c>
      <c r="M106" s="35" t="s">
        <v>145</v>
      </c>
      <c r="N106" s="35" t="s">
        <v>146</v>
      </c>
      <c r="O106" s="35">
        <f t="shared" si="10"/>
        <v>9999</v>
      </c>
      <c r="P106" s="35" t="s">
        <v>147</v>
      </c>
      <c r="Q106" s="35" t="str">
        <f t="shared" si="11"/>
        <v/>
      </c>
      <c r="R106" s="33" t="s">
        <v>154</v>
      </c>
      <c r="S106" s="41" t="s">
        <v>253</v>
      </c>
      <c r="T106" s="35"/>
      <c r="U106" s="35"/>
      <c r="V106" s="35">
        <v>8</v>
      </c>
      <c r="W106" s="35" t="s">
        <v>151</v>
      </c>
      <c r="X106" s="35" t="s">
        <v>152</v>
      </c>
      <c r="Y106" s="2"/>
      <c r="Z106" s="2"/>
    </row>
    <row r="107" spans="1:26" ht="12" customHeight="1">
      <c r="A107" s="34">
        <v>104</v>
      </c>
      <c r="B107" s="35" t="s">
        <v>272</v>
      </c>
      <c r="C107" s="35" t="s">
        <v>30</v>
      </c>
      <c r="D107" s="35">
        <v>44</v>
      </c>
      <c r="E107" s="34">
        <v>42</v>
      </c>
      <c r="F107" s="34">
        <v>8</v>
      </c>
      <c r="G107" s="34">
        <v>104</v>
      </c>
      <c r="H107" s="34">
        <v>106</v>
      </c>
      <c r="I107" s="34">
        <f t="shared" si="9"/>
        <v>-2</v>
      </c>
      <c r="J107" s="35" t="s">
        <v>147</v>
      </c>
      <c r="K107" s="35" t="str">
        <f>IF(COUNTIF('Draft Tracker'!$E$4:$E$147,B107)&gt;0,"Yes","No")</f>
        <v>No</v>
      </c>
      <c r="L107" s="35"/>
      <c r="M107" s="35" t="s">
        <v>234</v>
      </c>
      <c r="N107" s="35" t="s">
        <v>146</v>
      </c>
      <c r="O107" s="35">
        <f t="shared" si="10"/>
        <v>106</v>
      </c>
      <c r="P107" s="35" t="s">
        <v>147</v>
      </c>
      <c r="Q107" s="35">
        <f t="shared" si="11"/>
        <v>45</v>
      </c>
      <c r="R107" s="33" t="s">
        <v>154</v>
      </c>
      <c r="S107" s="41" t="s">
        <v>253</v>
      </c>
      <c r="T107" s="35"/>
      <c r="U107" s="35"/>
      <c r="V107" s="35">
        <v>8</v>
      </c>
      <c r="W107" s="35" t="s">
        <v>151</v>
      </c>
      <c r="X107" s="35" t="s">
        <v>152</v>
      </c>
      <c r="Y107" s="2"/>
      <c r="Z107" s="2"/>
    </row>
    <row r="108" spans="1:26" ht="12" customHeight="1">
      <c r="A108" s="34">
        <v>105</v>
      </c>
      <c r="B108" s="35" t="s">
        <v>273</v>
      </c>
      <c r="C108" s="35" t="s">
        <v>25</v>
      </c>
      <c r="D108" s="35">
        <v>28</v>
      </c>
      <c r="E108" s="34">
        <v>28</v>
      </c>
      <c r="F108" s="34">
        <v>8</v>
      </c>
      <c r="G108" s="34">
        <v>105</v>
      </c>
      <c r="H108" s="34">
        <v>107</v>
      </c>
      <c r="I108" s="34">
        <f t="shared" si="9"/>
        <v>-2</v>
      </c>
      <c r="J108" s="35" t="s">
        <v>147</v>
      </c>
      <c r="K108" s="35" t="str">
        <f>IF(COUNTIF('Draft Tracker'!$E$4:$E$147,B108)&gt;0,"Yes","No")</f>
        <v>No</v>
      </c>
      <c r="L108" s="35"/>
      <c r="M108" s="35" t="s">
        <v>234</v>
      </c>
      <c r="N108" s="35" t="s">
        <v>184</v>
      </c>
      <c r="O108" s="35">
        <f t="shared" si="10"/>
        <v>107</v>
      </c>
      <c r="P108" s="35" t="s">
        <v>0</v>
      </c>
      <c r="Q108" s="35">
        <f t="shared" si="11"/>
        <v>46</v>
      </c>
      <c r="R108" s="33" t="s">
        <v>173</v>
      </c>
      <c r="S108" s="41" t="s">
        <v>253</v>
      </c>
      <c r="T108" s="35"/>
      <c r="U108" s="35"/>
      <c r="V108" s="35">
        <v>8</v>
      </c>
      <c r="W108" s="35" t="s">
        <v>151</v>
      </c>
      <c r="X108" s="35" t="s">
        <v>152</v>
      </c>
      <c r="Y108" s="2"/>
      <c r="Z108" s="2"/>
    </row>
    <row r="109" spans="1:26" ht="12" customHeight="1">
      <c r="A109" s="34">
        <v>106</v>
      </c>
      <c r="B109" s="35" t="s">
        <v>274</v>
      </c>
      <c r="C109" s="35" t="s">
        <v>30</v>
      </c>
      <c r="D109" s="35">
        <v>31</v>
      </c>
      <c r="E109" s="34">
        <v>43</v>
      </c>
      <c r="F109" s="34">
        <v>6</v>
      </c>
      <c r="G109" s="34">
        <v>106</v>
      </c>
      <c r="H109" s="34">
        <v>78</v>
      </c>
      <c r="I109" s="34">
        <f t="shared" si="9"/>
        <v>28</v>
      </c>
      <c r="J109" s="35" t="s">
        <v>147</v>
      </c>
      <c r="K109" s="35" t="str">
        <f>IF(COUNTIF('Draft Tracker'!$E$4:$E$147,B109)&gt;0,"Yes","No")</f>
        <v>No</v>
      </c>
      <c r="L109" s="35"/>
      <c r="M109" s="35" t="s">
        <v>20</v>
      </c>
      <c r="N109" s="35" t="s">
        <v>275</v>
      </c>
      <c r="O109" s="35">
        <f t="shared" si="10"/>
        <v>78</v>
      </c>
      <c r="P109" s="35" t="s">
        <v>147</v>
      </c>
      <c r="Q109" s="35">
        <f t="shared" si="11"/>
        <v>21</v>
      </c>
      <c r="R109" s="33" t="s">
        <v>216</v>
      </c>
      <c r="S109" s="41" t="s">
        <v>174</v>
      </c>
      <c r="T109" s="35"/>
      <c r="U109" s="35"/>
      <c r="V109" s="35">
        <v>6</v>
      </c>
      <c r="W109" s="35" t="s">
        <v>168</v>
      </c>
      <c r="X109" s="35" t="s">
        <v>152</v>
      </c>
      <c r="Y109" s="2"/>
      <c r="Z109" s="2"/>
    </row>
    <row r="110" spans="1:26" ht="12" customHeight="1">
      <c r="A110" s="34">
        <v>107</v>
      </c>
      <c r="B110" s="35" t="s">
        <v>276</v>
      </c>
      <c r="C110" s="35" t="s">
        <v>30</v>
      </c>
      <c r="D110" s="35">
        <v>45</v>
      </c>
      <c r="E110" s="34">
        <v>44</v>
      </c>
      <c r="F110" s="34">
        <v>8</v>
      </c>
      <c r="G110" s="34">
        <v>107</v>
      </c>
      <c r="H110" s="34">
        <v>108</v>
      </c>
      <c r="I110" s="34">
        <f t="shared" si="9"/>
        <v>-1</v>
      </c>
      <c r="J110" s="35" t="s">
        <v>147</v>
      </c>
      <c r="K110" s="35" t="str">
        <f>IF(COUNTIF('Draft Tracker'!$E$4:$E$147,B110)&gt;0,"Yes","No")</f>
        <v>No</v>
      </c>
      <c r="L110" s="35"/>
      <c r="M110" s="35" t="s">
        <v>234</v>
      </c>
      <c r="N110" s="35" t="s">
        <v>146</v>
      </c>
      <c r="O110" s="35">
        <f t="shared" si="10"/>
        <v>108</v>
      </c>
      <c r="P110" s="35" t="s">
        <v>0</v>
      </c>
      <c r="Q110" s="35">
        <f t="shared" si="11"/>
        <v>47</v>
      </c>
      <c r="R110" s="33" t="s">
        <v>173</v>
      </c>
      <c r="S110" s="41" t="s">
        <v>253</v>
      </c>
      <c r="T110" s="35"/>
      <c r="U110" s="35"/>
      <c r="V110" s="35">
        <v>8</v>
      </c>
      <c r="W110" s="35" t="s">
        <v>151</v>
      </c>
      <c r="X110" s="35" t="s">
        <v>152</v>
      </c>
      <c r="Y110" s="2"/>
      <c r="Z110" s="2"/>
    </row>
    <row r="111" spans="1:26" ht="12" customHeight="1">
      <c r="A111" s="34">
        <v>108</v>
      </c>
      <c r="B111" s="35" t="s">
        <v>277</v>
      </c>
      <c r="C111" s="35" t="s">
        <v>28</v>
      </c>
      <c r="D111" s="35">
        <v>26</v>
      </c>
      <c r="E111" s="34">
        <v>26</v>
      </c>
      <c r="F111" s="34">
        <v>8</v>
      </c>
      <c r="G111" s="34">
        <v>108</v>
      </c>
      <c r="H111" s="34">
        <v>109</v>
      </c>
      <c r="I111" s="34">
        <f t="shared" si="9"/>
        <v>-1</v>
      </c>
      <c r="J111" s="35" t="s">
        <v>147</v>
      </c>
      <c r="K111" s="35" t="str">
        <f>IF(COUNTIF('Draft Tracker'!$E$4:$E$147,B111)&gt;0,"Yes","No")</f>
        <v>No</v>
      </c>
      <c r="L111" s="35"/>
      <c r="M111" s="35" t="s">
        <v>234</v>
      </c>
      <c r="N111" s="35" t="s">
        <v>146</v>
      </c>
      <c r="O111" s="35">
        <f t="shared" si="10"/>
        <v>109</v>
      </c>
      <c r="P111" s="35" t="s">
        <v>147</v>
      </c>
      <c r="Q111" s="35">
        <f t="shared" si="11"/>
        <v>48</v>
      </c>
      <c r="R111" s="33" t="s">
        <v>216</v>
      </c>
      <c r="S111" s="41" t="s">
        <v>253</v>
      </c>
      <c r="T111" s="35"/>
      <c r="U111" s="35"/>
      <c r="V111" s="35">
        <v>8</v>
      </c>
      <c r="W111" s="35" t="s">
        <v>151</v>
      </c>
      <c r="X111" s="35" t="s">
        <v>152</v>
      </c>
      <c r="Y111" s="2"/>
      <c r="Z111" s="2"/>
    </row>
    <row r="112" spans="1:26" ht="12" customHeight="1">
      <c r="A112" s="34">
        <v>109</v>
      </c>
      <c r="B112" s="35" t="s">
        <v>278</v>
      </c>
      <c r="C112" s="35" t="s">
        <v>28</v>
      </c>
      <c r="D112" s="35">
        <v>27</v>
      </c>
      <c r="E112" s="34">
        <v>27</v>
      </c>
      <c r="F112" s="34">
        <v>8</v>
      </c>
      <c r="G112" s="34">
        <v>109</v>
      </c>
      <c r="H112" s="34">
        <v>111</v>
      </c>
      <c r="I112" s="34">
        <f t="shared" si="9"/>
        <v>-2</v>
      </c>
      <c r="J112" s="35" t="s">
        <v>147</v>
      </c>
      <c r="K112" s="35" t="str">
        <f>IF(COUNTIF('Draft Tracker'!$E$4:$E$147,B112)&gt;0,"Yes","No")</f>
        <v>No</v>
      </c>
      <c r="L112" s="35"/>
      <c r="M112" s="35" t="s">
        <v>234</v>
      </c>
      <c r="N112" s="35" t="s">
        <v>146</v>
      </c>
      <c r="O112" s="35">
        <f t="shared" si="10"/>
        <v>111</v>
      </c>
      <c r="P112" s="35" t="s">
        <v>147</v>
      </c>
      <c r="Q112" s="35">
        <f t="shared" si="11"/>
        <v>50</v>
      </c>
      <c r="R112" s="33" t="s">
        <v>154</v>
      </c>
      <c r="S112" s="41" t="s">
        <v>253</v>
      </c>
      <c r="T112" s="35"/>
      <c r="U112" s="35"/>
      <c r="V112" s="35">
        <v>8</v>
      </c>
      <c r="W112" s="35" t="s">
        <v>151</v>
      </c>
      <c r="X112" s="35" t="s">
        <v>152</v>
      </c>
      <c r="Y112" s="2"/>
      <c r="Z112" s="2"/>
    </row>
    <row r="113" spans="1:26" ht="12" customHeight="1">
      <c r="A113" s="34">
        <v>110</v>
      </c>
      <c r="B113" s="35" t="s">
        <v>279</v>
      </c>
      <c r="C113" s="35" t="s">
        <v>30</v>
      </c>
      <c r="D113" s="35">
        <v>46</v>
      </c>
      <c r="E113" s="34">
        <v>45</v>
      </c>
      <c r="F113" s="34">
        <v>8</v>
      </c>
      <c r="G113" s="34">
        <v>110</v>
      </c>
      <c r="H113" s="34">
        <v>112</v>
      </c>
      <c r="I113" s="34">
        <f t="shared" si="9"/>
        <v>-2</v>
      </c>
      <c r="J113" s="35" t="s">
        <v>147</v>
      </c>
      <c r="K113" s="35" t="str">
        <f>IF(COUNTIF('Draft Tracker'!$E$4:$E$147,B113)&gt;0,"Yes","No")</f>
        <v>No</v>
      </c>
      <c r="L113" s="35"/>
      <c r="M113" s="35" t="s">
        <v>234</v>
      </c>
      <c r="N113" s="35" t="s">
        <v>146</v>
      </c>
      <c r="O113" s="35">
        <f t="shared" si="10"/>
        <v>112</v>
      </c>
      <c r="P113" s="35" t="s">
        <v>147</v>
      </c>
      <c r="Q113" s="35">
        <f t="shared" si="11"/>
        <v>51</v>
      </c>
      <c r="R113" s="33" t="s">
        <v>216</v>
      </c>
      <c r="S113" s="41" t="s">
        <v>253</v>
      </c>
      <c r="T113" s="35"/>
      <c r="U113" s="35"/>
      <c r="V113" s="35">
        <v>8</v>
      </c>
      <c r="W113" s="35" t="s">
        <v>151</v>
      </c>
      <c r="X113" s="35" t="s">
        <v>152</v>
      </c>
      <c r="Y113" s="2"/>
      <c r="Z113" s="2"/>
    </row>
    <row r="114" spans="1:26" ht="12" customHeight="1">
      <c r="A114" s="34">
        <v>111</v>
      </c>
      <c r="B114" s="35" t="s">
        <v>280</v>
      </c>
      <c r="C114" s="35" t="s">
        <v>32</v>
      </c>
      <c r="D114" s="35">
        <v>12</v>
      </c>
      <c r="E114" s="34">
        <v>11</v>
      </c>
      <c r="F114" s="34">
        <v>8</v>
      </c>
      <c r="G114" s="34">
        <v>111</v>
      </c>
      <c r="H114" s="34">
        <v>113</v>
      </c>
      <c r="I114" s="34">
        <f t="shared" si="9"/>
        <v>-2</v>
      </c>
      <c r="J114" s="35" t="s">
        <v>147</v>
      </c>
      <c r="K114" s="35" t="str">
        <f>IF(COUNTIF('Draft Tracker'!$E$4:$E$147,B114)&gt;0,"Yes","No")</f>
        <v>No</v>
      </c>
      <c r="L114" s="35"/>
      <c r="M114" s="35" t="s">
        <v>234</v>
      </c>
      <c r="N114" s="35" t="s">
        <v>221</v>
      </c>
      <c r="O114" s="35">
        <f t="shared" si="10"/>
        <v>113</v>
      </c>
      <c r="P114" s="35" t="s">
        <v>147</v>
      </c>
      <c r="Q114" s="35">
        <f t="shared" si="11"/>
        <v>52</v>
      </c>
      <c r="R114" s="33" t="s">
        <v>154</v>
      </c>
      <c r="S114" s="41" t="s">
        <v>253</v>
      </c>
      <c r="T114" s="35"/>
      <c r="U114" s="35"/>
      <c r="V114" s="35">
        <v>8</v>
      </c>
      <c r="W114" s="35" t="s">
        <v>151</v>
      </c>
      <c r="X114" s="35" t="s">
        <v>152</v>
      </c>
      <c r="Y114" s="2"/>
      <c r="Z114" s="2"/>
    </row>
    <row r="115" spans="1:26" ht="12" customHeight="1">
      <c r="A115" s="34">
        <v>112</v>
      </c>
      <c r="B115" s="35" t="s">
        <v>281</v>
      </c>
      <c r="C115" s="35" t="s">
        <v>30</v>
      </c>
      <c r="D115" s="35">
        <v>47</v>
      </c>
      <c r="E115" s="34">
        <v>46</v>
      </c>
      <c r="F115" s="34">
        <v>8</v>
      </c>
      <c r="G115" s="34">
        <v>112</v>
      </c>
      <c r="H115" s="34">
        <v>114</v>
      </c>
      <c r="I115" s="34">
        <f t="shared" si="9"/>
        <v>-2</v>
      </c>
      <c r="J115" s="35" t="s">
        <v>147</v>
      </c>
      <c r="K115" s="35" t="str">
        <f>IF(COUNTIF('Draft Tracker'!$E$4:$E$147,B115)&gt;0,"Yes","No")</f>
        <v>No</v>
      </c>
      <c r="L115" s="35"/>
      <c r="M115" s="35" t="s">
        <v>234</v>
      </c>
      <c r="N115" s="35" t="s">
        <v>146</v>
      </c>
      <c r="O115" s="35">
        <f t="shared" si="10"/>
        <v>114</v>
      </c>
      <c r="P115" s="35" t="s">
        <v>147</v>
      </c>
      <c r="Q115" s="35">
        <f t="shared" si="11"/>
        <v>53</v>
      </c>
      <c r="R115" s="33" t="s">
        <v>154</v>
      </c>
      <c r="S115" s="41" t="s">
        <v>253</v>
      </c>
      <c r="T115" s="35"/>
      <c r="U115" s="35"/>
      <c r="V115" s="35">
        <v>8</v>
      </c>
      <c r="W115" s="35" t="s">
        <v>151</v>
      </c>
      <c r="X115" s="35" t="s">
        <v>152</v>
      </c>
      <c r="Y115" s="2"/>
      <c r="Z115" s="2"/>
    </row>
    <row r="116" spans="1:26" ht="12" customHeight="1">
      <c r="A116" s="34">
        <v>113</v>
      </c>
      <c r="B116" s="35" t="s">
        <v>282</v>
      </c>
      <c r="C116" s="35" t="s">
        <v>32</v>
      </c>
      <c r="D116" s="35">
        <v>13</v>
      </c>
      <c r="E116" s="34">
        <v>12</v>
      </c>
      <c r="F116" s="34">
        <v>8</v>
      </c>
      <c r="G116" s="34">
        <v>113</v>
      </c>
      <c r="H116" s="34">
        <v>115</v>
      </c>
      <c r="I116" s="34">
        <f t="shared" si="9"/>
        <v>-2</v>
      </c>
      <c r="J116" s="35" t="s">
        <v>147</v>
      </c>
      <c r="K116" s="35" t="str">
        <f>IF(COUNTIF('Draft Tracker'!$E$4:$E$147,B116)&gt;0,"Yes","No")</f>
        <v>No</v>
      </c>
      <c r="L116" s="35"/>
      <c r="M116" s="35" t="s">
        <v>234</v>
      </c>
      <c r="N116" s="35" t="s">
        <v>221</v>
      </c>
      <c r="O116" s="35">
        <f t="shared" si="10"/>
        <v>115</v>
      </c>
      <c r="P116" s="35" t="s">
        <v>0</v>
      </c>
      <c r="Q116" s="35">
        <f t="shared" si="11"/>
        <v>54</v>
      </c>
      <c r="R116" s="33" t="s">
        <v>173</v>
      </c>
      <c r="S116" s="41" t="s">
        <v>253</v>
      </c>
      <c r="T116" s="35"/>
      <c r="U116" s="35"/>
      <c r="V116" s="35">
        <v>8</v>
      </c>
      <c r="W116" s="35" t="s">
        <v>151</v>
      </c>
      <c r="X116" s="35" t="s">
        <v>152</v>
      </c>
      <c r="Y116" s="2"/>
      <c r="Z116" s="2"/>
    </row>
    <row r="117" spans="1:26" ht="12" customHeight="1">
      <c r="A117" s="34">
        <v>114</v>
      </c>
      <c r="B117" s="35" t="s">
        <v>283</v>
      </c>
      <c r="C117" s="35" t="s">
        <v>30</v>
      </c>
      <c r="D117" s="35">
        <v>48</v>
      </c>
      <c r="E117" s="34">
        <v>47</v>
      </c>
      <c r="F117" s="34">
        <v>8</v>
      </c>
      <c r="G117" s="34">
        <v>114</v>
      </c>
      <c r="H117" s="34">
        <v>116</v>
      </c>
      <c r="I117" s="34">
        <f t="shared" si="9"/>
        <v>-2</v>
      </c>
      <c r="J117" s="35" t="s">
        <v>147</v>
      </c>
      <c r="K117" s="35" t="str">
        <f>IF(COUNTIF('Draft Tracker'!$E$4:$E$147,B117)&gt;0,"Yes","No")</f>
        <v>No</v>
      </c>
      <c r="L117" s="35"/>
      <c r="M117" s="35" t="s">
        <v>234</v>
      </c>
      <c r="N117" s="35" t="s">
        <v>146</v>
      </c>
      <c r="O117" s="35">
        <f t="shared" si="10"/>
        <v>116</v>
      </c>
      <c r="P117" s="35" t="s">
        <v>147</v>
      </c>
      <c r="Q117" s="35">
        <f t="shared" si="11"/>
        <v>55</v>
      </c>
      <c r="R117" s="33" t="s">
        <v>154</v>
      </c>
      <c r="S117" s="41" t="s">
        <v>253</v>
      </c>
      <c r="T117" s="35"/>
      <c r="U117" s="35"/>
      <c r="V117" s="35">
        <v>8</v>
      </c>
      <c r="W117" s="35" t="s">
        <v>151</v>
      </c>
      <c r="X117" s="35" t="s">
        <v>152</v>
      </c>
      <c r="Y117" s="2"/>
      <c r="Z117" s="2"/>
    </row>
    <row r="118" spans="1:26" ht="12" customHeight="1">
      <c r="A118" s="34">
        <v>115</v>
      </c>
      <c r="B118" s="35" t="s">
        <v>284</v>
      </c>
      <c r="C118" s="35" t="s">
        <v>30</v>
      </c>
      <c r="D118" s="35">
        <v>49</v>
      </c>
      <c r="E118" s="34">
        <v>48</v>
      </c>
      <c r="F118" s="34">
        <v>8</v>
      </c>
      <c r="G118" s="34">
        <v>115</v>
      </c>
      <c r="H118" s="34">
        <v>117</v>
      </c>
      <c r="I118" s="34">
        <f t="shared" si="9"/>
        <v>-2</v>
      </c>
      <c r="J118" s="35" t="s">
        <v>147</v>
      </c>
      <c r="K118" s="35" t="str">
        <f>IF(COUNTIF('Draft Tracker'!$E$4:$E$147,B118)&gt;0,"Yes","No")</f>
        <v>No</v>
      </c>
      <c r="L118" s="35"/>
      <c r="M118" s="35" t="s">
        <v>234</v>
      </c>
      <c r="N118" s="35" t="s">
        <v>146</v>
      </c>
      <c r="O118" s="35">
        <f t="shared" si="10"/>
        <v>117</v>
      </c>
      <c r="P118" s="35" t="s">
        <v>147</v>
      </c>
      <c r="Q118" s="35">
        <f t="shared" si="11"/>
        <v>56</v>
      </c>
      <c r="R118" s="33" t="s">
        <v>154</v>
      </c>
      <c r="S118" s="41" t="s">
        <v>253</v>
      </c>
      <c r="T118" s="35"/>
      <c r="U118" s="35"/>
      <c r="V118" s="35">
        <v>8</v>
      </c>
      <c r="W118" s="35" t="s">
        <v>151</v>
      </c>
      <c r="X118" s="35" t="s">
        <v>152</v>
      </c>
      <c r="Y118" s="2"/>
      <c r="Z118" s="2"/>
    </row>
    <row r="119" spans="1:26" ht="12" customHeight="1">
      <c r="A119" s="34">
        <v>116</v>
      </c>
      <c r="B119" s="35" t="s">
        <v>285</v>
      </c>
      <c r="C119" s="35" t="s">
        <v>28</v>
      </c>
      <c r="D119" s="35">
        <v>28</v>
      </c>
      <c r="E119" s="34">
        <v>28</v>
      </c>
      <c r="F119" s="34">
        <v>8</v>
      </c>
      <c r="G119" s="34">
        <v>116</v>
      </c>
      <c r="H119" s="34">
        <v>118</v>
      </c>
      <c r="I119" s="34">
        <f t="shared" si="9"/>
        <v>-2</v>
      </c>
      <c r="J119" s="35" t="s">
        <v>147</v>
      </c>
      <c r="K119" s="35" t="str">
        <f>IF(COUNTIF('Draft Tracker'!$E$4:$E$147,B119)&gt;0,"Yes","No")</f>
        <v>No</v>
      </c>
      <c r="L119" s="35"/>
      <c r="M119" s="35" t="s">
        <v>234</v>
      </c>
      <c r="N119" s="35" t="s">
        <v>146</v>
      </c>
      <c r="O119" s="35">
        <f t="shared" si="10"/>
        <v>118</v>
      </c>
      <c r="P119" s="35" t="s">
        <v>147</v>
      </c>
      <c r="Q119" s="35">
        <f t="shared" si="11"/>
        <v>57</v>
      </c>
      <c r="R119" s="33" t="s">
        <v>154</v>
      </c>
      <c r="S119" s="41" t="s">
        <v>253</v>
      </c>
      <c r="T119" s="35"/>
      <c r="U119" s="35"/>
      <c r="V119" s="35">
        <v>8</v>
      </c>
      <c r="W119" s="35" t="s">
        <v>151</v>
      </c>
      <c r="X119" s="35" t="s">
        <v>152</v>
      </c>
      <c r="Y119" s="2"/>
      <c r="Z119" s="2"/>
    </row>
    <row r="120" spans="1:26" ht="12" customHeight="1">
      <c r="A120" s="34">
        <v>117</v>
      </c>
      <c r="B120" s="35" t="s">
        <v>286</v>
      </c>
      <c r="C120" s="35" t="s">
        <v>32</v>
      </c>
      <c r="D120" s="35">
        <v>5</v>
      </c>
      <c r="E120" s="34">
        <v>13</v>
      </c>
      <c r="F120" s="34">
        <v>6</v>
      </c>
      <c r="G120" s="34">
        <v>117</v>
      </c>
      <c r="H120" s="34">
        <v>64</v>
      </c>
      <c r="I120" s="34">
        <f t="shared" si="9"/>
        <v>53</v>
      </c>
      <c r="J120" s="35" t="s">
        <v>147</v>
      </c>
      <c r="K120" s="35" t="str">
        <f>IF(COUNTIF('Draft Tracker'!$E$4:$E$147,B120)&gt;0,"Yes","No")</f>
        <v>No</v>
      </c>
      <c r="L120" s="35"/>
      <c r="M120" s="35" t="s">
        <v>20</v>
      </c>
      <c r="N120" s="35" t="s">
        <v>287</v>
      </c>
      <c r="O120" s="35">
        <f t="shared" si="10"/>
        <v>64</v>
      </c>
      <c r="P120" s="35" t="s">
        <v>147</v>
      </c>
      <c r="Q120" s="35">
        <f t="shared" si="11"/>
        <v>11</v>
      </c>
      <c r="R120" s="33" t="s">
        <v>216</v>
      </c>
      <c r="S120" s="41" t="s">
        <v>174</v>
      </c>
      <c r="T120" s="35"/>
      <c r="U120" s="35"/>
      <c r="V120" s="35">
        <v>6</v>
      </c>
      <c r="W120" s="35" t="s">
        <v>168</v>
      </c>
      <c r="X120" s="35" t="s">
        <v>152</v>
      </c>
      <c r="Y120" s="2"/>
      <c r="Z120" s="2"/>
    </row>
    <row r="121" spans="1:26" ht="12" customHeight="1">
      <c r="A121" s="34">
        <v>118</v>
      </c>
      <c r="B121" s="35" t="s">
        <v>288</v>
      </c>
      <c r="C121" s="35" t="s">
        <v>30</v>
      </c>
      <c r="D121" s="35">
        <v>50</v>
      </c>
      <c r="E121" s="34">
        <v>49</v>
      </c>
      <c r="F121" s="34">
        <v>8</v>
      </c>
      <c r="G121" s="34">
        <v>118</v>
      </c>
      <c r="H121" s="34">
        <v>119</v>
      </c>
      <c r="I121" s="34">
        <f t="shared" si="9"/>
        <v>-1</v>
      </c>
      <c r="J121" s="35" t="s">
        <v>147</v>
      </c>
      <c r="K121" s="35" t="str">
        <f>IF(COUNTIF('Draft Tracker'!$E$4:$E$147,B121)&gt;0,"Yes","No")</f>
        <v>No</v>
      </c>
      <c r="L121" s="35"/>
      <c r="M121" s="35" t="s">
        <v>234</v>
      </c>
      <c r="N121" s="35" t="s">
        <v>146</v>
      </c>
      <c r="O121" s="35">
        <f t="shared" si="10"/>
        <v>119</v>
      </c>
      <c r="P121" s="35" t="s">
        <v>147</v>
      </c>
      <c r="Q121" s="35">
        <f t="shared" si="11"/>
        <v>58</v>
      </c>
      <c r="R121" s="33" t="s">
        <v>154</v>
      </c>
      <c r="S121" s="41" t="s">
        <v>253</v>
      </c>
      <c r="T121" s="35"/>
      <c r="U121" s="35"/>
      <c r="V121" s="35">
        <v>8</v>
      </c>
      <c r="W121" s="35" t="s">
        <v>151</v>
      </c>
      <c r="X121" s="35" t="s">
        <v>152</v>
      </c>
      <c r="Y121" s="2"/>
      <c r="Z121" s="2"/>
    </row>
    <row r="122" spans="1:26" ht="12" customHeight="1">
      <c r="A122" s="34">
        <v>119</v>
      </c>
      <c r="B122" s="35" t="s">
        <v>289</v>
      </c>
      <c r="C122" s="35" t="s">
        <v>28</v>
      </c>
      <c r="D122" s="35">
        <v>29</v>
      </c>
      <c r="E122" s="34">
        <v>29</v>
      </c>
      <c r="F122" s="34">
        <v>8</v>
      </c>
      <c r="G122" s="34">
        <v>119</v>
      </c>
      <c r="H122" s="34">
        <v>120</v>
      </c>
      <c r="I122" s="34">
        <f t="shared" si="9"/>
        <v>-1</v>
      </c>
      <c r="J122" s="35" t="s">
        <v>147</v>
      </c>
      <c r="K122" s="35" t="str">
        <f>IF(COUNTIF('Draft Tracker'!$E$4:$E$147,B122)&gt;0,"Yes","No")</f>
        <v>No</v>
      </c>
      <c r="L122" s="35"/>
      <c r="M122" s="35" t="s">
        <v>234</v>
      </c>
      <c r="N122" s="35" t="s">
        <v>146</v>
      </c>
      <c r="O122" s="35">
        <f t="shared" si="10"/>
        <v>120</v>
      </c>
      <c r="P122" s="35" t="s">
        <v>147</v>
      </c>
      <c r="Q122" s="35">
        <f t="shared" si="11"/>
        <v>59</v>
      </c>
      <c r="R122" s="33" t="s">
        <v>154</v>
      </c>
      <c r="S122" s="41" t="s">
        <v>253</v>
      </c>
      <c r="T122" s="35"/>
      <c r="U122" s="35"/>
      <c r="V122" s="35">
        <v>8</v>
      </c>
      <c r="W122" s="35" t="s">
        <v>151</v>
      </c>
      <c r="X122" s="35" t="s">
        <v>152</v>
      </c>
      <c r="Y122" s="2"/>
      <c r="Z122" s="2"/>
    </row>
    <row r="123" spans="1:26" ht="12" customHeight="1">
      <c r="A123" s="34">
        <v>120</v>
      </c>
      <c r="B123" s="35" t="s">
        <v>290</v>
      </c>
      <c r="C123" s="35" t="s">
        <v>28</v>
      </c>
      <c r="D123" s="35">
        <v>30</v>
      </c>
      <c r="E123" s="34">
        <v>30</v>
      </c>
      <c r="F123" s="34">
        <v>9</v>
      </c>
      <c r="G123" s="34">
        <v>120</v>
      </c>
      <c r="H123" s="34">
        <v>121</v>
      </c>
      <c r="I123" s="34">
        <f t="shared" si="9"/>
        <v>-1</v>
      </c>
      <c r="J123" s="35" t="s">
        <v>147</v>
      </c>
      <c r="K123" s="35" t="str">
        <f>IF(COUNTIF('Draft Tracker'!$E$4:$E$147,B123)&gt;0,"Yes","No")</f>
        <v>No</v>
      </c>
      <c r="L123" s="35"/>
      <c r="M123" s="35" t="s">
        <v>234</v>
      </c>
      <c r="N123" s="35" t="s">
        <v>146</v>
      </c>
      <c r="O123" s="35">
        <f t="shared" si="10"/>
        <v>121</v>
      </c>
      <c r="P123" s="35" t="s">
        <v>147</v>
      </c>
      <c r="Q123" s="35">
        <f t="shared" si="11"/>
        <v>60</v>
      </c>
      <c r="R123" s="33" t="s">
        <v>154</v>
      </c>
      <c r="S123" s="41" t="s">
        <v>253</v>
      </c>
      <c r="T123" s="35"/>
      <c r="U123" s="35"/>
      <c r="V123" s="35">
        <v>9</v>
      </c>
      <c r="W123" s="35" t="s">
        <v>151</v>
      </c>
      <c r="X123" s="35" t="s">
        <v>152</v>
      </c>
      <c r="Y123" s="2"/>
      <c r="Z123" s="2"/>
    </row>
    <row r="124" spans="1:26" ht="12" customHeight="1">
      <c r="A124" s="34">
        <v>121</v>
      </c>
      <c r="B124" s="35" t="s">
        <v>291</v>
      </c>
      <c r="C124" s="35" t="s">
        <v>28</v>
      </c>
      <c r="D124" s="35">
        <v>31</v>
      </c>
      <c r="E124" s="34">
        <v>31</v>
      </c>
      <c r="F124" s="34">
        <v>9</v>
      </c>
      <c r="G124" s="34">
        <v>121</v>
      </c>
      <c r="H124" s="34">
        <v>122</v>
      </c>
      <c r="I124" s="34">
        <f t="shared" si="9"/>
        <v>-1</v>
      </c>
      <c r="J124" s="35" t="s">
        <v>147</v>
      </c>
      <c r="K124" s="35" t="str">
        <f>IF(COUNTIF('Draft Tracker'!$E$4:$E$147,B124)&gt;0,"Yes","No")</f>
        <v>No</v>
      </c>
      <c r="L124" s="35"/>
      <c r="M124" s="35" t="s">
        <v>234</v>
      </c>
      <c r="N124" s="35" t="s">
        <v>146</v>
      </c>
      <c r="O124" s="35">
        <f t="shared" si="10"/>
        <v>122</v>
      </c>
      <c r="P124" s="35" t="s">
        <v>147</v>
      </c>
      <c r="Q124" s="35">
        <f t="shared" si="11"/>
        <v>61</v>
      </c>
      <c r="R124" s="33" t="s">
        <v>154</v>
      </c>
      <c r="S124" s="41" t="s">
        <v>253</v>
      </c>
      <c r="T124" s="35"/>
      <c r="U124" s="35"/>
      <c r="V124" s="35">
        <v>9</v>
      </c>
      <c r="W124" s="35" t="s">
        <v>151</v>
      </c>
      <c r="X124" s="35" t="s">
        <v>152</v>
      </c>
      <c r="Y124" s="2"/>
      <c r="Z124" s="2"/>
    </row>
    <row r="125" spans="1:26" ht="12" customHeight="1">
      <c r="A125" s="34">
        <v>122</v>
      </c>
      <c r="B125" s="35" t="s">
        <v>292</v>
      </c>
      <c r="C125" s="35" t="s">
        <v>30</v>
      </c>
      <c r="D125" s="35">
        <v>51</v>
      </c>
      <c r="E125" s="34">
        <v>50</v>
      </c>
      <c r="F125" s="34">
        <v>9</v>
      </c>
      <c r="G125" s="34">
        <v>122</v>
      </c>
      <c r="H125" s="34">
        <v>123</v>
      </c>
      <c r="I125" s="34">
        <f t="shared" si="9"/>
        <v>-1</v>
      </c>
      <c r="J125" s="35" t="s">
        <v>0</v>
      </c>
      <c r="K125" s="35" t="str">
        <f>IF(COUNTIF('Draft Tracker'!$E$4:$E$147,B125)&gt;0,"Yes","No")</f>
        <v>No</v>
      </c>
      <c r="L125" s="35" t="s">
        <v>107</v>
      </c>
      <c r="M125" s="35" t="s">
        <v>145</v>
      </c>
      <c r="N125" s="35" t="s">
        <v>146</v>
      </c>
      <c r="O125" s="35">
        <f t="shared" si="10"/>
        <v>9999</v>
      </c>
      <c r="P125" s="35" t="s">
        <v>147</v>
      </c>
      <c r="Q125" s="35" t="str">
        <f t="shared" si="11"/>
        <v/>
      </c>
      <c r="R125" s="33" t="s">
        <v>154</v>
      </c>
      <c r="S125" s="41" t="s">
        <v>253</v>
      </c>
      <c r="T125" s="35"/>
      <c r="U125" s="35"/>
      <c r="V125" s="35">
        <v>9</v>
      </c>
      <c r="W125" s="35" t="s">
        <v>151</v>
      </c>
      <c r="X125" s="35" t="s">
        <v>152</v>
      </c>
      <c r="Y125" s="2"/>
      <c r="Z125" s="2"/>
    </row>
    <row r="126" spans="1:26" ht="12" customHeight="1">
      <c r="A126" s="34">
        <v>123</v>
      </c>
      <c r="B126" s="35" t="s">
        <v>293</v>
      </c>
      <c r="C126" s="35" t="s">
        <v>30</v>
      </c>
      <c r="D126" s="35">
        <v>32</v>
      </c>
      <c r="E126" s="34">
        <v>51</v>
      </c>
      <c r="F126" s="34">
        <v>7</v>
      </c>
      <c r="G126" s="34">
        <v>123</v>
      </c>
      <c r="H126" s="34">
        <v>82</v>
      </c>
      <c r="I126" s="34">
        <f t="shared" si="9"/>
        <v>41</v>
      </c>
      <c r="J126" s="35" t="s">
        <v>147</v>
      </c>
      <c r="K126" s="35" t="str">
        <f>IF(COUNTIF('Draft Tracker'!$E$4:$E$147,B126)&gt;0,"Yes","No")</f>
        <v>No</v>
      </c>
      <c r="L126" s="35"/>
      <c r="M126" s="35" t="s">
        <v>234</v>
      </c>
      <c r="N126" s="35" t="s">
        <v>294</v>
      </c>
      <c r="O126" s="35">
        <f t="shared" si="10"/>
        <v>82</v>
      </c>
      <c r="P126" s="35" t="s">
        <v>147</v>
      </c>
      <c r="Q126" s="35">
        <f t="shared" si="11"/>
        <v>23</v>
      </c>
      <c r="R126" s="33" t="s">
        <v>216</v>
      </c>
      <c r="S126" s="41" t="s">
        <v>174</v>
      </c>
      <c r="T126" s="35"/>
      <c r="U126" s="35"/>
      <c r="V126" s="35">
        <v>7</v>
      </c>
      <c r="W126" s="35" t="s">
        <v>168</v>
      </c>
      <c r="X126" s="35" t="s">
        <v>152</v>
      </c>
      <c r="Y126" s="2"/>
      <c r="Z126" s="2"/>
    </row>
    <row r="127" spans="1:26" ht="12" customHeight="1">
      <c r="A127" s="34">
        <v>124</v>
      </c>
      <c r="B127" s="35" t="s">
        <v>295</v>
      </c>
      <c r="C127" s="35" t="s">
        <v>30</v>
      </c>
      <c r="D127" s="35">
        <v>52</v>
      </c>
      <c r="E127" s="34">
        <v>52</v>
      </c>
      <c r="F127" s="34">
        <v>9</v>
      </c>
      <c r="G127" s="34">
        <v>124</v>
      </c>
      <c r="H127" s="34">
        <v>124</v>
      </c>
      <c r="I127" s="34">
        <f t="shared" si="9"/>
        <v>0</v>
      </c>
      <c r="J127" s="35" t="s">
        <v>147</v>
      </c>
      <c r="K127" s="35" t="str">
        <f>IF(COUNTIF('Draft Tracker'!$E$4:$E$147,B127)&gt;0,"Yes","No")</f>
        <v>No</v>
      </c>
      <c r="L127" s="35"/>
      <c r="M127" s="35" t="s">
        <v>234</v>
      </c>
      <c r="N127" s="35" t="s">
        <v>146</v>
      </c>
      <c r="O127" s="35">
        <f t="shared" si="10"/>
        <v>124</v>
      </c>
      <c r="P127" s="35" t="s">
        <v>147</v>
      </c>
      <c r="Q127" s="35">
        <f t="shared" si="11"/>
        <v>62</v>
      </c>
      <c r="R127" s="33" t="s">
        <v>154</v>
      </c>
      <c r="S127" s="41" t="s">
        <v>253</v>
      </c>
      <c r="T127" s="35"/>
      <c r="U127" s="35"/>
      <c r="V127" s="35">
        <v>9</v>
      </c>
      <c r="W127" s="35" t="s">
        <v>151</v>
      </c>
      <c r="X127" s="35" t="s">
        <v>152</v>
      </c>
      <c r="Y127" s="2"/>
      <c r="Z127" s="2"/>
    </row>
    <row r="128" spans="1:26" ht="12" customHeight="1">
      <c r="A128" s="34">
        <v>125</v>
      </c>
      <c r="B128" s="35" t="s">
        <v>296</v>
      </c>
      <c r="C128" s="35" t="s">
        <v>28</v>
      </c>
      <c r="D128" s="35">
        <v>32</v>
      </c>
      <c r="E128" s="34">
        <v>32</v>
      </c>
      <c r="F128" s="34">
        <v>9</v>
      </c>
      <c r="G128" s="34">
        <v>125</v>
      </c>
      <c r="H128" s="34">
        <v>125</v>
      </c>
      <c r="I128" s="34">
        <f t="shared" si="9"/>
        <v>0</v>
      </c>
      <c r="J128" s="35" t="s">
        <v>147</v>
      </c>
      <c r="K128" s="35" t="str">
        <f>IF(COUNTIF('Draft Tracker'!$E$4:$E$147,B128)&gt;0,"Yes","No")</f>
        <v>No</v>
      </c>
      <c r="L128" s="35"/>
      <c r="M128" s="35" t="s">
        <v>234</v>
      </c>
      <c r="N128" s="35" t="s">
        <v>146</v>
      </c>
      <c r="O128" s="35">
        <f t="shared" si="10"/>
        <v>125</v>
      </c>
      <c r="P128" s="35" t="s">
        <v>147</v>
      </c>
      <c r="Q128" s="35">
        <f t="shared" si="11"/>
        <v>63</v>
      </c>
      <c r="R128" s="33" t="s">
        <v>154</v>
      </c>
      <c r="S128" s="41" t="s">
        <v>253</v>
      </c>
      <c r="T128" s="35"/>
      <c r="U128" s="35"/>
      <c r="V128" s="35">
        <v>9</v>
      </c>
      <c r="W128" s="35" t="s">
        <v>151</v>
      </c>
      <c r="X128" s="35" t="s">
        <v>152</v>
      </c>
      <c r="Y128" s="2"/>
      <c r="Z128" s="2"/>
    </row>
    <row r="129" spans="1:26" ht="12" customHeight="1">
      <c r="A129" s="34">
        <v>126</v>
      </c>
      <c r="B129" s="35" t="s">
        <v>297</v>
      </c>
      <c r="C129" s="35" t="s">
        <v>28</v>
      </c>
      <c r="D129" s="35">
        <v>33</v>
      </c>
      <c r="E129" s="34">
        <v>33</v>
      </c>
      <c r="F129" s="34">
        <v>9</v>
      </c>
      <c r="G129" s="34">
        <v>126</v>
      </c>
      <c r="H129" s="34">
        <v>126</v>
      </c>
      <c r="I129" s="34">
        <f t="shared" si="9"/>
        <v>0</v>
      </c>
      <c r="J129" s="35" t="s">
        <v>147</v>
      </c>
      <c r="K129" s="35" t="str">
        <f>IF(COUNTIF('Draft Tracker'!$E$4:$E$147,B129)&gt;0,"Yes","No")</f>
        <v>No</v>
      </c>
      <c r="L129" s="35"/>
      <c r="M129" s="35" t="s">
        <v>234</v>
      </c>
      <c r="N129" s="35" t="s">
        <v>146</v>
      </c>
      <c r="O129" s="35">
        <f t="shared" si="10"/>
        <v>126</v>
      </c>
      <c r="P129" s="35" t="s">
        <v>147</v>
      </c>
      <c r="Q129" s="35">
        <f t="shared" si="11"/>
        <v>64</v>
      </c>
      <c r="R129" s="33" t="s">
        <v>154</v>
      </c>
      <c r="S129" s="41" t="s">
        <v>253</v>
      </c>
      <c r="T129" s="35"/>
      <c r="U129" s="35"/>
      <c r="V129" s="35">
        <v>9</v>
      </c>
      <c r="W129" s="35" t="s">
        <v>151</v>
      </c>
      <c r="X129" s="35" t="s">
        <v>152</v>
      </c>
      <c r="Y129" s="2"/>
      <c r="Z129" s="2"/>
    </row>
    <row r="130" spans="1:26" ht="12" customHeight="1">
      <c r="A130" s="34">
        <v>127</v>
      </c>
      <c r="B130" s="35" t="s">
        <v>298</v>
      </c>
      <c r="C130" s="35" t="s">
        <v>32</v>
      </c>
      <c r="D130" s="35">
        <v>14</v>
      </c>
      <c r="E130" s="34">
        <v>14</v>
      </c>
      <c r="F130" s="34">
        <v>9</v>
      </c>
      <c r="G130" s="34">
        <v>127</v>
      </c>
      <c r="H130" s="34">
        <v>127</v>
      </c>
      <c r="I130" s="34">
        <f t="shared" si="9"/>
        <v>0</v>
      </c>
      <c r="J130" s="35" t="s">
        <v>147</v>
      </c>
      <c r="K130" s="35" t="str">
        <f>IF(COUNTIF('Draft Tracker'!$E$4:$E$147,B130)&gt;0,"Yes","No")</f>
        <v>No</v>
      </c>
      <c r="L130" s="35"/>
      <c r="M130" s="35" t="s">
        <v>234</v>
      </c>
      <c r="N130" s="35" t="s">
        <v>221</v>
      </c>
      <c r="O130" s="35">
        <f t="shared" si="10"/>
        <v>127</v>
      </c>
      <c r="P130" s="35" t="s">
        <v>147</v>
      </c>
      <c r="Q130" s="35">
        <f t="shared" si="11"/>
        <v>65</v>
      </c>
      <c r="R130" s="33" t="s">
        <v>154</v>
      </c>
      <c r="S130" s="41" t="s">
        <v>253</v>
      </c>
      <c r="T130" s="35"/>
      <c r="U130" s="35"/>
      <c r="V130" s="35">
        <v>9</v>
      </c>
      <c r="W130" s="35" t="s">
        <v>151</v>
      </c>
      <c r="X130" s="35" t="s">
        <v>152</v>
      </c>
      <c r="Y130" s="2"/>
      <c r="Z130" s="2"/>
    </row>
    <row r="131" spans="1:26" ht="12" customHeight="1">
      <c r="A131" s="34">
        <v>128</v>
      </c>
      <c r="B131" s="35" t="s">
        <v>299</v>
      </c>
      <c r="C131" s="35" t="s">
        <v>30</v>
      </c>
      <c r="D131" s="35">
        <v>53</v>
      </c>
      <c r="E131" s="34">
        <v>53</v>
      </c>
      <c r="F131" s="34">
        <v>9</v>
      </c>
      <c r="G131" s="34">
        <v>128</v>
      </c>
      <c r="H131" s="34">
        <v>128</v>
      </c>
      <c r="I131" s="34">
        <f t="shared" si="9"/>
        <v>0</v>
      </c>
      <c r="J131" s="35" t="s">
        <v>147</v>
      </c>
      <c r="K131" s="35" t="str">
        <f>IF(COUNTIF('Draft Tracker'!$E$4:$E$147,B131)&gt;0,"Yes","No")</f>
        <v>No</v>
      </c>
      <c r="L131" s="35"/>
      <c r="M131" s="35" t="s">
        <v>234</v>
      </c>
      <c r="N131" s="35" t="s">
        <v>146</v>
      </c>
      <c r="O131" s="35">
        <f t="shared" si="10"/>
        <v>128</v>
      </c>
      <c r="P131" s="35" t="s">
        <v>147</v>
      </c>
      <c r="Q131" s="35">
        <f t="shared" si="11"/>
        <v>66</v>
      </c>
      <c r="R131" s="33" t="s">
        <v>154</v>
      </c>
      <c r="S131" s="41" t="s">
        <v>253</v>
      </c>
      <c r="T131" s="35"/>
      <c r="U131" s="35"/>
      <c r="V131" s="35">
        <v>9</v>
      </c>
      <c r="W131" s="35" t="s">
        <v>151</v>
      </c>
      <c r="X131" s="35" t="s">
        <v>152</v>
      </c>
      <c r="Y131" s="2"/>
      <c r="Z131" s="2"/>
    </row>
    <row r="132" spans="1:26" ht="12" customHeight="1">
      <c r="A132" s="34">
        <v>129</v>
      </c>
      <c r="B132" s="35" t="s">
        <v>300</v>
      </c>
      <c r="C132" s="35" t="s">
        <v>28</v>
      </c>
      <c r="D132" s="35">
        <v>34</v>
      </c>
      <c r="E132" s="34">
        <v>34</v>
      </c>
      <c r="F132" s="34">
        <v>9</v>
      </c>
      <c r="G132" s="34">
        <v>129</v>
      </c>
      <c r="H132" s="34">
        <v>129</v>
      </c>
      <c r="I132" s="34">
        <f t="shared" ref="I132:I163" si="12">G132-H132</f>
        <v>0</v>
      </c>
      <c r="J132" s="35" t="s">
        <v>147</v>
      </c>
      <c r="K132" s="35" t="str">
        <f>IF(COUNTIF('Draft Tracker'!$E$4:$E$147,B132)&gt;0,"Yes","No")</f>
        <v>No</v>
      </c>
      <c r="L132" s="35"/>
      <c r="M132" s="35" t="s">
        <v>234</v>
      </c>
      <c r="N132" s="35" t="s">
        <v>146</v>
      </c>
      <c r="O132" s="35">
        <f t="shared" ref="O132:O164" si="13">IF(AND(J132="No",K132="No",H132&lt;&gt;""),H132,9999)</f>
        <v>129</v>
      </c>
      <c r="P132" s="35" t="s">
        <v>0</v>
      </c>
      <c r="Q132" s="35">
        <f t="shared" ref="Q132:Q163" si="14">IF(J132="Yes","",COUNTIFS($J$4:$J$163,"No",$H$4:$H$163,"&lt;"&amp;H132)+1)</f>
        <v>67</v>
      </c>
      <c r="R132" s="33" t="s">
        <v>173</v>
      </c>
      <c r="S132" s="41" t="s">
        <v>253</v>
      </c>
      <c r="T132" s="35"/>
      <c r="U132" s="35"/>
      <c r="V132" s="35">
        <v>9</v>
      </c>
      <c r="W132" s="35" t="s">
        <v>151</v>
      </c>
      <c r="X132" s="35" t="s">
        <v>152</v>
      </c>
      <c r="Y132" s="2"/>
      <c r="Z132" s="2"/>
    </row>
    <row r="133" spans="1:26" ht="12" customHeight="1">
      <c r="A133" s="34">
        <v>130</v>
      </c>
      <c r="B133" s="35" t="s">
        <v>301</v>
      </c>
      <c r="C133" s="35" t="s">
        <v>28</v>
      </c>
      <c r="D133" s="35">
        <v>35</v>
      </c>
      <c r="E133" s="34">
        <v>35</v>
      </c>
      <c r="F133" s="34">
        <v>9</v>
      </c>
      <c r="G133" s="34">
        <v>130</v>
      </c>
      <c r="H133" s="34">
        <v>130</v>
      </c>
      <c r="I133" s="34">
        <f t="shared" si="12"/>
        <v>0</v>
      </c>
      <c r="J133" s="35" t="s">
        <v>147</v>
      </c>
      <c r="K133" s="35" t="str">
        <f>IF(COUNTIF('Draft Tracker'!$E$4:$E$147,B133)&gt;0,"Yes","No")</f>
        <v>No</v>
      </c>
      <c r="L133" s="35"/>
      <c r="M133" s="35" t="s">
        <v>234</v>
      </c>
      <c r="N133" s="35" t="s">
        <v>146</v>
      </c>
      <c r="O133" s="35">
        <f t="shared" si="13"/>
        <v>130</v>
      </c>
      <c r="P133" s="35" t="s">
        <v>147</v>
      </c>
      <c r="Q133" s="35">
        <f t="shared" si="14"/>
        <v>68</v>
      </c>
      <c r="R133" s="33" t="s">
        <v>154</v>
      </c>
      <c r="S133" s="41" t="s">
        <v>253</v>
      </c>
      <c r="T133" s="35"/>
      <c r="U133" s="35"/>
      <c r="V133" s="35">
        <v>9</v>
      </c>
      <c r="W133" s="35" t="s">
        <v>151</v>
      </c>
      <c r="X133" s="35" t="s">
        <v>152</v>
      </c>
      <c r="Y133" s="2"/>
      <c r="Z133" s="2"/>
    </row>
    <row r="134" spans="1:26" ht="12" customHeight="1">
      <c r="A134" s="34">
        <v>131</v>
      </c>
      <c r="B134" s="35" t="s">
        <v>302</v>
      </c>
      <c r="C134" s="35" t="s">
        <v>32</v>
      </c>
      <c r="D134" s="35">
        <v>15</v>
      </c>
      <c r="E134" s="34">
        <v>15</v>
      </c>
      <c r="F134" s="34">
        <v>9</v>
      </c>
      <c r="G134" s="34">
        <v>131</v>
      </c>
      <c r="H134" s="34">
        <v>131</v>
      </c>
      <c r="I134" s="34">
        <f t="shared" si="12"/>
        <v>0</v>
      </c>
      <c r="J134" s="35" t="s">
        <v>147</v>
      </c>
      <c r="K134" s="35" t="str">
        <f>IF(COUNTIF('Draft Tracker'!$E$4:$E$147,B134)&gt;0,"Yes","No")</f>
        <v>No</v>
      </c>
      <c r="L134" s="35"/>
      <c r="M134" s="35" t="s">
        <v>234</v>
      </c>
      <c r="N134" s="35" t="s">
        <v>221</v>
      </c>
      <c r="O134" s="35">
        <f t="shared" si="13"/>
        <v>131</v>
      </c>
      <c r="P134" s="35" t="s">
        <v>147</v>
      </c>
      <c r="Q134" s="35">
        <f t="shared" si="14"/>
        <v>69</v>
      </c>
      <c r="R134" s="33" t="s">
        <v>154</v>
      </c>
      <c r="S134" s="41" t="s">
        <v>253</v>
      </c>
      <c r="T134" s="35"/>
      <c r="U134" s="35"/>
      <c r="V134" s="35">
        <v>9</v>
      </c>
      <c r="W134" s="35" t="s">
        <v>151</v>
      </c>
      <c r="X134" s="35" t="s">
        <v>152</v>
      </c>
      <c r="Y134" s="2"/>
      <c r="Z134" s="2"/>
    </row>
    <row r="135" spans="1:26" ht="12" customHeight="1">
      <c r="A135" s="34">
        <v>132</v>
      </c>
      <c r="B135" s="35" t="s">
        <v>303</v>
      </c>
      <c r="C135" s="35" t="s">
        <v>30</v>
      </c>
      <c r="D135" s="35">
        <v>54</v>
      </c>
      <c r="E135" s="34">
        <v>54</v>
      </c>
      <c r="F135" s="34">
        <v>9</v>
      </c>
      <c r="G135" s="34">
        <v>132</v>
      </c>
      <c r="H135" s="34">
        <v>132</v>
      </c>
      <c r="I135" s="34">
        <f t="shared" si="12"/>
        <v>0</v>
      </c>
      <c r="J135" s="35" t="s">
        <v>147</v>
      </c>
      <c r="K135" s="35" t="str">
        <f>IF(COUNTIF('Draft Tracker'!$E$4:$E$147,B135)&gt;0,"Yes","No")</f>
        <v>No</v>
      </c>
      <c r="L135" s="35"/>
      <c r="M135" s="35" t="s">
        <v>234</v>
      </c>
      <c r="N135" s="35" t="s">
        <v>146</v>
      </c>
      <c r="O135" s="35">
        <f t="shared" si="13"/>
        <v>132</v>
      </c>
      <c r="P135" s="35" t="s">
        <v>0</v>
      </c>
      <c r="Q135" s="35">
        <f t="shared" si="14"/>
        <v>70</v>
      </c>
      <c r="R135" s="33" t="s">
        <v>173</v>
      </c>
      <c r="S135" s="41" t="s">
        <v>253</v>
      </c>
      <c r="T135" s="35"/>
      <c r="U135" s="35"/>
      <c r="V135" s="35">
        <v>9</v>
      </c>
      <c r="W135" s="35" t="s">
        <v>151</v>
      </c>
      <c r="X135" s="35" t="s">
        <v>152</v>
      </c>
      <c r="Y135" s="2"/>
      <c r="Z135" s="2"/>
    </row>
    <row r="136" spans="1:26" ht="12" customHeight="1">
      <c r="A136" s="34">
        <v>133</v>
      </c>
      <c r="B136" s="35" t="s">
        <v>304</v>
      </c>
      <c r="C136" s="35" t="s">
        <v>32</v>
      </c>
      <c r="D136" s="35">
        <v>16</v>
      </c>
      <c r="E136" s="34">
        <v>16</v>
      </c>
      <c r="F136" s="34">
        <v>9</v>
      </c>
      <c r="G136" s="34">
        <v>133</v>
      </c>
      <c r="H136" s="34">
        <v>133</v>
      </c>
      <c r="I136" s="34">
        <f t="shared" si="12"/>
        <v>0</v>
      </c>
      <c r="J136" s="35" t="s">
        <v>147</v>
      </c>
      <c r="K136" s="35" t="str">
        <f>IF(COUNTIF('Draft Tracker'!$E$4:$E$147,B136)&gt;0,"Yes","No")</f>
        <v>No</v>
      </c>
      <c r="L136" s="35"/>
      <c r="M136" s="35" t="s">
        <v>234</v>
      </c>
      <c r="N136" s="35" t="s">
        <v>221</v>
      </c>
      <c r="O136" s="35">
        <f t="shared" si="13"/>
        <v>133</v>
      </c>
      <c r="P136" s="35" t="s">
        <v>147</v>
      </c>
      <c r="Q136" s="35">
        <f t="shared" si="14"/>
        <v>71</v>
      </c>
      <c r="R136" s="33" t="s">
        <v>154</v>
      </c>
      <c r="S136" s="41" t="s">
        <v>253</v>
      </c>
      <c r="T136" s="35"/>
      <c r="U136" s="35"/>
      <c r="V136" s="35">
        <v>9</v>
      </c>
      <c r="W136" s="35" t="s">
        <v>151</v>
      </c>
      <c r="X136" s="35" t="s">
        <v>152</v>
      </c>
      <c r="Y136" s="2"/>
      <c r="Z136" s="2"/>
    </row>
    <row r="137" spans="1:26" ht="12" customHeight="1">
      <c r="A137" s="34">
        <v>134</v>
      </c>
      <c r="B137" s="35" t="s">
        <v>305</v>
      </c>
      <c r="C137" s="35" t="s">
        <v>30</v>
      </c>
      <c r="D137" s="35">
        <v>55</v>
      </c>
      <c r="E137" s="34">
        <v>55</v>
      </c>
      <c r="F137" s="34">
        <v>9</v>
      </c>
      <c r="G137" s="34">
        <v>134</v>
      </c>
      <c r="H137" s="34">
        <v>134</v>
      </c>
      <c r="I137" s="34">
        <f t="shared" si="12"/>
        <v>0</v>
      </c>
      <c r="J137" s="35" t="s">
        <v>147</v>
      </c>
      <c r="K137" s="35" t="str">
        <f>IF(COUNTIF('Draft Tracker'!$E$4:$E$147,B137)&gt;0,"Yes","No")</f>
        <v>No</v>
      </c>
      <c r="L137" s="35"/>
      <c r="M137" s="35" t="s">
        <v>234</v>
      </c>
      <c r="N137" s="35" t="s">
        <v>146</v>
      </c>
      <c r="O137" s="35">
        <f t="shared" si="13"/>
        <v>134</v>
      </c>
      <c r="P137" s="35" t="s">
        <v>147</v>
      </c>
      <c r="Q137" s="35">
        <f t="shared" si="14"/>
        <v>72</v>
      </c>
      <c r="R137" s="33" t="s">
        <v>216</v>
      </c>
      <c r="S137" s="41" t="s">
        <v>253</v>
      </c>
      <c r="T137" s="35"/>
      <c r="U137" s="35"/>
      <c r="V137" s="35">
        <v>9</v>
      </c>
      <c r="W137" s="35" t="s">
        <v>151</v>
      </c>
      <c r="X137" s="35" t="s">
        <v>152</v>
      </c>
      <c r="Y137" s="2"/>
      <c r="Z137" s="2"/>
    </row>
    <row r="138" spans="1:26" ht="12" customHeight="1">
      <c r="A138" s="34">
        <v>135</v>
      </c>
      <c r="B138" s="35" t="s">
        <v>306</v>
      </c>
      <c r="C138" s="35" t="s">
        <v>30</v>
      </c>
      <c r="D138" s="35">
        <v>56</v>
      </c>
      <c r="E138" s="34">
        <v>56</v>
      </c>
      <c r="F138" s="34">
        <v>9</v>
      </c>
      <c r="G138" s="34">
        <v>135</v>
      </c>
      <c r="H138" s="34">
        <v>135</v>
      </c>
      <c r="I138" s="34">
        <f t="shared" si="12"/>
        <v>0</v>
      </c>
      <c r="J138" s="35" t="s">
        <v>147</v>
      </c>
      <c r="K138" s="35" t="str">
        <f>IF(COUNTIF('Draft Tracker'!$E$4:$E$147,B138)&gt;0,"Yes","No")</f>
        <v>No</v>
      </c>
      <c r="L138" s="35"/>
      <c r="M138" s="35" t="s">
        <v>234</v>
      </c>
      <c r="N138" s="35" t="s">
        <v>146</v>
      </c>
      <c r="O138" s="35">
        <f t="shared" si="13"/>
        <v>135</v>
      </c>
      <c r="P138" s="35" t="s">
        <v>147</v>
      </c>
      <c r="Q138" s="35">
        <f t="shared" si="14"/>
        <v>73</v>
      </c>
      <c r="R138" s="33" t="s">
        <v>154</v>
      </c>
      <c r="S138" s="41" t="s">
        <v>253</v>
      </c>
      <c r="T138" s="35"/>
      <c r="U138" s="35"/>
      <c r="V138" s="35">
        <v>9</v>
      </c>
      <c r="W138" s="35" t="s">
        <v>151</v>
      </c>
      <c r="X138" s="35" t="s">
        <v>152</v>
      </c>
      <c r="Y138" s="2"/>
      <c r="Z138" s="2"/>
    </row>
    <row r="139" spans="1:26" ht="12" customHeight="1">
      <c r="A139" s="34">
        <v>136</v>
      </c>
      <c r="B139" s="35" t="s">
        <v>307</v>
      </c>
      <c r="C139" s="35" t="s">
        <v>28</v>
      </c>
      <c r="D139" s="35">
        <v>36</v>
      </c>
      <c r="E139" s="34">
        <v>36</v>
      </c>
      <c r="F139" s="34">
        <v>9</v>
      </c>
      <c r="G139" s="34">
        <v>136</v>
      </c>
      <c r="H139" s="34">
        <v>136</v>
      </c>
      <c r="I139" s="34">
        <f t="shared" si="12"/>
        <v>0</v>
      </c>
      <c r="J139" s="35" t="s">
        <v>147</v>
      </c>
      <c r="K139" s="35" t="str">
        <f>IF(COUNTIF('Draft Tracker'!$E$4:$E$147,B139)&gt;0,"Yes","No")</f>
        <v>No</v>
      </c>
      <c r="L139" s="35"/>
      <c r="M139" s="35" t="s">
        <v>234</v>
      </c>
      <c r="N139" s="35" t="s">
        <v>146</v>
      </c>
      <c r="O139" s="35">
        <f t="shared" si="13"/>
        <v>136</v>
      </c>
      <c r="P139" s="35" t="s">
        <v>147</v>
      </c>
      <c r="Q139" s="35">
        <f t="shared" si="14"/>
        <v>74</v>
      </c>
      <c r="R139" s="33" t="s">
        <v>154</v>
      </c>
      <c r="S139" s="41" t="s">
        <v>253</v>
      </c>
      <c r="T139" s="35"/>
      <c r="U139" s="35"/>
      <c r="V139" s="35">
        <v>9</v>
      </c>
      <c r="W139" s="35" t="s">
        <v>151</v>
      </c>
      <c r="X139" s="35" t="s">
        <v>152</v>
      </c>
      <c r="Y139" s="2"/>
      <c r="Z139" s="2"/>
    </row>
    <row r="140" spans="1:26" ht="12" customHeight="1">
      <c r="A140" s="34">
        <v>137</v>
      </c>
      <c r="B140" s="35" t="s">
        <v>308</v>
      </c>
      <c r="C140" s="35" t="s">
        <v>30</v>
      </c>
      <c r="D140" s="35">
        <v>57</v>
      </c>
      <c r="E140" s="34">
        <v>57</v>
      </c>
      <c r="F140" s="34">
        <v>9</v>
      </c>
      <c r="G140" s="34">
        <v>137</v>
      </c>
      <c r="H140" s="34">
        <v>137</v>
      </c>
      <c r="I140" s="34">
        <f t="shared" si="12"/>
        <v>0</v>
      </c>
      <c r="J140" s="35" t="s">
        <v>147</v>
      </c>
      <c r="K140" s="35" t="str">
        <f>IF(COUNTIF('Draft Tracker'!$E$4:$E$147,B140)&gt;0,"Yes","No")</f>
        <v>No</v>
      </c>
      <c r="L140" s="35"/>
      <c r="M140" s="35" t="s">
        <v>234</v>
      </c>
      <c r="N140" s="35" t="s">
        <v>146</v>
      </c>
      <c r="O140" s="35">
        <f t="shared" si="13"/>
        <v>137</v>
      </c>
      <c r="P140" s="35" t="s">
        <v>147</v>
      </c>
      <c r="Q140" s="35">
        <f t="shared" si="14"/>
        <v>75</v>
      </c>
      <c r="R140" s="33" t="s">
        <v>216</v>
      </c>
      <c r="S140" s="41" t="s">
        <v>253</v>
      </c>
      <c r="T140" s="35"/>
      <c r="U140" s="35"/>
      <c r="V140" s="35">
        <v>9</v>
      </c>
      <c r="W140" s="35" t="s">
        <v>151</v>
      </c>
      <c r="X140" s="35" t="s">
        <v>152</v>
      </c>
      <c r="Y140" s="2"/>
      <c r="Z140" s="2"/>
    </row>
    <row r="141" spans="1:26" ht="12" customHeight="1">
      <c r="A141" s="34">
        <v>138</v>
      </c>
      <c r="B141" s="35" t="s">
        <v>309</v>
      </c>
      <c r="C141" s="35" t="s">
        <v>28</v>
      </c>
      <c r="D141" s="35">
        <v>37</v>
      </c>
      <c r="E141" s="34">
        <v>37</v>
      </c>
      <c r="F141" s="34">
        <v>9</v>
      </c>
      <c r="G141" s="34">
        <v>138</v>
      </c>
      <c r="H141" s="34">
        <v>138</v>
      </c>
      <c r="I141" s="34">
        <f t="shared" si="12"/>
        <v>0</v>
      </c>
      <c r="J141" s="35" t="s">
        <v>147</v>
      </c>
      <c r="K141" s="35" t="str">
        <f>IF(COUNTIF('Draft Tracker'!$E$4:$E$147,B141)&gt;0,"Yes","No")</f>
        <v>No</v>
      </c>
      <c r="L141" s="35"/>
      <c r="M141" s="35" t="s">
        <v>234</v>
      </c>
      <c r="N141" s="35" t="s">
        <v>146</v>
      </c>
      <c r="O141" s="35">
        <f t="shared" si="13"/>
        <v>138</v>
      </c>
      <c r="P141" s="35" t="s">
        <v>147</v>
      </c>
      <c r="Q141" s="35">
        <f t="shared" si="14"/>
        <v>76</v>
      </c>
      <c r="R141" s="33" t="s">
        <v>216</v>
      </c>
      <c r="S141" s="41" t="s">
        <v>253</v>
      </c>
      <c r="T141" s="35"/>
      <c r="U141" s="35"/>
      <c r="V141" s="35">
        <v>9</v>
      </c>
      <c r="W141" s="35" t="s">
        <v>151</v>
      </c>
      <c r="X141" s="35" t="s">
        <v>152</v>
      </c>
      <c r="Y141" s="2"/>
      <c r="Z141" s="2"/>
    </row>
    <row r="142" spans="1:26" ht="12" customHeight="1">
      <c r="A142" s="34">
        <v>139</v>
      </c>
      <c r="B142" s="35" t="s">
        <v>310</v>
      </c>
      <c r="C142" s="35" t="s">
        <v>28</v>
      </c>
      <c r="D142" s="35">
        <v>38</v>
      </c>
      <c r="E142" s="34">
        <v>38</v>
      </c>
      <c r="F142" s="34">
        <v>9</v>
      </c>
      <c r="G142" s="34">
        <v>139</v>
      </c>
      <c r="H142" s="34">
        <v>139</v>
      </c>
      <c r="I142" s="34">
        <f t="shared" si="12"/>
        <v>0</v>
      </c>
      <c r="J142" s="35" t="s">
        <v>147</v>
      </c>
      <c r="K142" s="35" t="str">
        <f>IF(COUNTIF('Draft Tracker'!$E$4:$E$147,B142)&gt;0,"Yes","No")</f>
        <v>No</v>
      </c>
      <c r="L142" s="35"/>
      <c r="M142" s="35" t="s">
        <v>234</v>
      </c>
      <c r="N142" s="35" t="s">
        <v>146</v>
      </c>
      <c r="O142" s="35">
        <f t="shared" si="13"/>
        <v>139</v>
      </c>
      <c r="P142" s="35" t="s">
        <v>147</v>
      </c>
      <c r="Q142" s="35">
        <f t="shared" si="14"/>
        <v>77</v>
      </c>
      <c r="R142" s="33" t="s">
        <v>216</v>
      </c>
      <c r="S142" s="41" t="s">
        <v>253</v>
      </c>
      <c r="T142" s="35"/>
      <c r="U142" s="35"/>
      <c r="V142" s="35">
        <v>9</v>
      </c>
      <c r="W142" s="35" t="s">
        <v>151</v>
      </c>
      <c r="X142" s="35" t="s">
        <v>152</v>
      </c>
      <c r="Y142" s="2"/>
      <c r="Z142" s="2"/>
    </row>
    <row r="143" spans="1:26" ht="12" customHeight="1">
      <c r="A143" s="34">
        <v>140</v>
      </c>
      <c r="B143" s="35" t="s">
        <v>311</v>
      </c>
      <c r="C143" s="35" t="s">
        <v>28</v>
      </c>
      <c r="D143" s="35">
        <v>39</v>
      </c>
      <c r="E143" s="34">
        <v>39</v>
      </c>
      <c r="F143" s="34">
        <v>9</v>
      </c>
      <c r="G143" s="34">
        <v>140</v>
      </c>
      <c r="H143" s="34">
        <v>140</v>
      </c>
      <c r="I143" s="34">
        <f t="shared" si="12"/>
        <v>0</v>
      </c>
      <c r="J143" s="35" t="s">
        <v>147</v>
      </c>
      <c r="K143" s="35" t="str">
        <f>IF(COUNTIF('Draft Tracker'!$E$4:$E$147,B143)&gt;0,"Yes","No")</f>
        <v>No</v>
      </c>
      <c r="L143" s="35"/>
      <c r="M143" s="35" t="s">
        <v>234</v>
      </c>
      <c r="N143" s="35" t="s">
        <v>146</v>
      </c>
      <c r="O143" s="35">
        <f t="shared" si="13"/>
        <v>140</v>
      </c>
      <c r="P143" s="35" t="s">
        <v>147</v>
      </c>
      <c r="Q143" s="35">
        <f t="shared" si="14"/>
        <v>78</v>
      </c>
      <c r="R143" s="33" t="s">
        <v>154</v>
      </c>
      <c r="S143" s="41" t="s">
        <v>253</v>
      </c>
      <c r="T143" s="35"/>
      <c r="U143" s="35"/>
      <c r="V143" s="35">
        <v>9</v>
      </c>
      <c r="W143" s="35" t="s">
        <v>151</v>
      </c>
      <c r="X143" s="35" t="s">
        <v>152</v>
      </c>
      <c r="Y143" s="2"/>
      <c r="Z143" s="2"/>
    </row>
    <row r="144" spans="1:26" ht="12" customHeight="1">
      <c r="A144" s="34">
        <v>141</v>
      </c>
      <c r="B144" s="35" t="s">
        <v>312</v>
      </c>
      <c r="C144" s="35" t="s">
        <v>30</v>
      </c>
      <c r="D144" s="35">
        <v>58</v>
      </c>
      <c r="E144" s="34">
        <v>58</v>
      </c>
      <c r="F144" s="34">
        <v>10</v>
      </c>
      <c r="G144" s="34">
        <v>141</v>
      </c>
      <c r="H144" s="34">
        <v>141</v>
      </c>
      <c r="I144" s="34">
        <f t="shared" si="12"/>
        <v>0</v>
      </c>
      <c r="J144" s="35" t="s">
        <v>147</v>
      </c>
      <c r="K144" s="35" t="str">
        <f>IF(COUNTIF('Draft Tracker'!$E$4:$E$147,B144)&gt;0,"Yes","No")</f>
        <v>No</v>
      </c>
      <c r="L144" s="35"/>
      <c r="M144" s="35" t="s">
        <v>234</v>
      </c>
      <c r="N144" s="35" t="s">
        <v>146</v>
      </c>
      <c r="O144" s="35">
        <f t="shared" si="13"/>
        <v>141</v>
      </c>
      <c r="P144" s="35" t="s">
        <v>0</v>
      </c>
      <c r="Q144" s="35">
        <f t="shared" si="14"/>
        <v>79</v>
      </c>
      <c r="R144" s="33" t="s">
        <v>173</v>
      </c>
      <c r="S144" s="41" t="s">
        <v>253</v>
      </c>
      <c r="T144" s="35"/>
      <c r="U144" s="35"/>
      <c r="V144" s="35">
        <v>10</v>
      </c>
      <c r="W144" s="35" t="s">
        <v>151</v>
      </c>
      <c r="X144" s="35" t="s">
        <v>152</v>
      </c>
      <c r="Y144" s="2"/>
      <c r="Z144" s="2"/>
    </row>
    <row r="145" spans="1:26" ht="12" customHeight="1">
      <c r="A145" s="34">
        <v>142</v>
      </c>
      <c r="B145" s="35" t="s">
        <v>313</v>
      </c>
      <c r="C145" s="35" t="s">
        <v>28</v>
      </c>
      <c r="D145" s="35">
        <v>40</v>
      </c>
      <c r="E145" s="34">
        <v>40</v>
      </c>
      <c r="F145" s="34">
        <v>10</v>
      </c>
      <c r="G145" s="34">
        <v>142</v>
      </c>
      <c r="H145" s="34">
        <v>142</v>
      </c>
      <c r="I145" s="34">
        <f t="shared" si="12"/>
        <v>0</v>
      </c>
      <c r="J145" s="35" t="s">
        <v>147</v>
      </c>
      <c r="K145" s="35" t="str">
        <f>IF(COUNTIF('Draft Tracker'!$E$4:$E$147,B145)&gt;0,"Yes","No")</f>
        <v>No</v>
      </c>
      <c r="L145" s="35"/>
      <c r="M145" s="35" t="s">
        <v>234</v>
      </c>
      <c r="N145" s="35" t="s">
        <v>146</v>
      </c>
      <c r="O145" s="35">
        <f t="shared" si="13"/>
        <v>142</v>
      </c>
      <c r="P145" s="35" t="s">
        <v>147</v>
      </c>
      <c r="Q145" s="35">
        <f t="shared" si="14"/>
        <v>80</v>
      </c>
      <c r="R145" s="33" t="s">
        <v>154</v>
      </c>
      <c r="S145" s="41" t="s">
        <v>253</v>
      </c>
      <c r="T145" s="35"/>
      <c r="U145" s="35"/>
      <c r="V145" s="35">
        <v>10</v>
      </c>
      <c r="W145" s="35" t="s">
        <v>151</v>
      </c>
      <c r="X145" s="35" t="s">
        <v>152</v>
      </c>
      <c r="Y145" s="2"/>
      <c r="Z145" s="2"/>
    </row>
    <row r="146" spans="1:26" ht="12" customHeight="1">
      <c r="A146" s="34">
        <v>143</v>
      </c>
      <c r="B146" s="35" t="s">
        <v>314</v>
      </c>
      <c r="C146" s="35" t="s">
        <v>28</v>
      </c>
      <c r="D146" s="35">
        <v>41</v>
      </c>
      <c r="E146" s="34">
        <v>41</v>
      </c>
      <c r="F146" s="34">
        <v>10</v>
      </c>
      <c r="G146" s="34">
        <v>143</v>
      </c>
      <c r="H146" s="34">
        <v>143</v>
      </c>
      <c r="I146" s="34">
        <f t="shared" si="12"/>
        <v>0</v>
      </c>
      <c r="J146" s="35" t="s">
        <v>147</v>
      </c>
      <c r="K146" s="35" t="str">
        <f>IF(COUNTIF('Draft Tracker'!$E$4:$E$147,B146)&gt;0,"Yes","No")</f>
        <v>No</v>
      </c>
      <c r="L146" s="35"/>
      <c r="M146" s="35" t="s">
        <v>234</v>
      </c>
      <c r="N146" s="35" t="s">
        <v>146</v>
      </c>
      <c r="O146" s="35">
        <f t="shared" si="13"/>
        <v>143</v>
      </c>
      <c r="P146" s="35" t="s">
        <v>147</v>
      </c>
      <c r="Q146" s="35">
        <f t="shared" si="14"/>
        <v>81</v>
      </c>
      <c r="R146" s="33" t="s">
        <v>216</v>
      </c>
      <c r="S146" s="41" t="s">
        <v>253</v>
      </c>
      <c r="T146" s="35"/>
      <c r="U146" s="35"/>
      <c r="V146" s="35">
        <v>10</v>
      </c>
      <c r="W146" s="35" t="s">
        <v>151</v>
      </c>
      <c r="X146" s="35" t="s">
        <v>152</v>
      </c>
      <c r="Y146" s="2"/>
      <c r="Z146" s="2"/>
    </row>
    <row r="147" spans="1:26" ht="12" customHeight="1">
      <c r="A147" s="34">
        <v>144</v>
      </c>
      <c r="B147" s="35" t="s">
        <v>315</v>
      </c>
      <c r="C147" s="35" t="s">
        <v>30</v>
      </c>
      <c r="D147" s="35">
        <v>59</v>
      </c>
      <c r="E147" s="34">
        <v>59</v>
      </c>
      <c r="F147" s="34">
        <v>10</v>
      </c>
      <c r="G147" s="34">
        <v>144</v>
      </c>
      <c r="H147" s="34">
        <v>144</v>
      </c>
      <c r="I147" s="34">
        <f t="shared" si="12"/>
        <v>0</v>
      </c>
      <c r="J147" s="35" t="s">
        <v>147</v>
      </c>
      <c r="K147" s="35" t="str">
        <f>IF(COUNTIF('Draft Tracker'!$E$4:$E$147,B147)&gt;0,"Yes","No")</f>
        <v>No</v>
      </c>
      <c r="L147" s="35"/>
      <c r="M147" s="35" t="s">
        <v>234</v>
      </c>
      <c r="N147" s="35" t="s">
        <v>146</v>
      </c>
      <c r="O147" s="35">
        <f t="shared" si="13"/>
        <v>144</v>
      </c>
      <c r="P147" s="35" t="s">
        <v>147</v>
      </c>
      <c r="Q147" s="35">
        <f t="shared" si="14"/>
        <v>82</v>
      </c>
      <c r="R147" s="33" t="s">
        <v>154</v>
      </c>
      <c r="S147" s="41" t="s">
        <v>253</v>
      </c>
      <c r="T147" s="35"/>
      <c r="U147" s="35"/>
      <c r="V147" s="35">
        <v>10</v>
      </c>
      <c r="W147" s="35" t="s">
        <v>151</v>
      </c>
      <c r="X147" s="35" t="s">
        <v>152</v>
      </c>
      <c r="Y147" s="2"/>
      <c r="Z147" s="2"/>
    </row>
    <row r="148" spans="1:26" ht="12" customHeight="1">
      <c r="A148" s="34">
        <v>145</v>
      </c>
      <c r="B148" s="35" t="s">
        <v>316</v>
      </c>
      <c r="C148" s="35" t="s">
        <v>32</v>
      </c>
      <c r="D148" s="35">
        <v>17</v>
      </c>
      <c r="E148" s="34">
        <v>17</v>
      </c>
      <c r="F148" s="34">
        <v>10</v>
      </c>
      <c r="G148" s="34">
        <v>145</v>
      </c>
      <c r="H148" s="34">
        <v>145</v>
      </c>
      <c r="I148" s="34">
        <f t="shared" si="12"/>
        <v>0</v>
      </c>
      <c r="J148" s="35" t="s">
        <v>147</v>
      </c>
      <c r="K148" s="35" t="str">
        <f>IF(COUNTIF('Draft Tracker'!$E$4:$E$147,B148)&gt;0,"Yes","No")</f>
        <v>No</v>
      </c>
      <c r="L148" s="35"/>
      <c r="M148" s="35" t="s">
        <v>234</v>
      </c>
      <c r="N148" s="35" t="s">
        <v>221</v>
      </c>
      <c r="O148" s="35">
        <f t="shared" si="13"/>
        <v>145</v>
      </c>
      <c r="P148" s="35" t="s">
        <v>147</v>
      </c>
      <c r="Q148" s="35">
        <f t="shared" si="14"/>
        <v>83</v>
      </c>
      <c r="R148" s="33" t="s">
        <v>216</v>
      </c>
      <c r="S148" s="41" t="s">
        <v>253</v>
      </c>
      <c r="T148" s="35"/>
      <c r="U148" s="35"/>
      <c r="V148" s="35">
        <v>10</v>
      </c>
      <c r="W148" s="35" t="s">
        <v>151</v>
      </c>
      <c r="X148" s="35" t="s">
        <v>152</v>
      </c>
      <c r="Y148" s="2"/>
      <c r="Z148" s="2"/>
    </row>
    <row r="149" spans="1:26" ht="12" customHeight="1">
      <c r="A149" s="34">
        <v>146</v>
      </c>
      <c r="B149" s="35" t="s">
        <v>317</v>
      </c>
      <c r="C149" s="35" t="s">
        <v>30</v>
      </c>
      <c r="D149" s="35">
        <v>60</v>
      </c>
      <c r="E149" s="34">
        <v>60</v>
      </c>
      <c r="F149" s="34">
        <v>10</v>
      </c>
      <c r="G149" s="34">
        <v>146</v>
      </c>
      <c r="H149" s="34">
        <v>146</v>
      </c>
      <c r="I149" s="34">
        <f t="shared" si="12"/>
        <v>0</v>
      </c>
      <c r="J149" s="35" t="s">
        <v>147</v>
      </c>
      <c r="K149" s="35" t="str">
        <f>IF(COUNTIF('Draft Tracker'!$E$4:$E$147,B149)&gt;0,"Yes","No")</f>
        <v>No</v>
      </c>
      <c r="L149" s="35"/>
      <c r="M149" s="35" t="s">
        <v>234</v>
      </c>
      <c r="N149" s="35" t="s">
        <v>146</v>
      </c>
      <c r="O149" s="35">
        <f t="shared" si="13"/>
        <v>146</v>
      </c>
      <c r="P149" s="35" t="s">
        <v>147</v>
      </c>
      <c r="Q149" s="35">
        <f t="shared" si="14"/>
        <v>84</v>
      </c>
      <c r="R149" s="33" t="s">
        <v>216</v>
      </c>
      <c r="S149" s="41" t="s">
        <v>253</v>
      </c>
      <c r="T149" s="35"/>
      <c r="U149" s="35"/>
      <c r="V149" s="35">
        <v>10</v>
      </c>
      <c r="W149" s="35" t="s">
        <v>151</v>
      </c>
      <c r="X149" s="35" t="s">
        <v>152</v>
      </c>
      <c r="Y149" s="2"/>
      <c r="Z149" s="2"/>
    </row>
    <row r="150" spans="1:26" ht="12" customHeight="1">
      <c r="A150" s="34">
        <v>147</v>
      </c>
      <c r="B150" s="35" t="s">
        <v>318</v>
      </c>
      <c r="C150" s="35" t="s">
        <v>28</v>
      </c>
      <c r="D150" s="35">
        <v>42</v>
      </c>
      <c r="E150" s="34">
        <v>42</v>
      </c>
      <c r="F150" s="34">
        <v>10</v>
      </c>
      <c r="G150" s="34">
        <v>147</v>
      </c>
      <c r="H150" s="34">
        <v>147</v>
      </c>
      <c r="I150" s="34">
        <f t="shared" si="12"/>
        <v>0</v>
      </c>
      <c r="J150" s="35" t="s">
        <v>147</v>
      </c>
      <c r="K150" s="35" t="str">
        <f>IF(COUNTIF('Draft Tracker'!$E$4:$E$147,B150)&gt;0,"Yes","No")</f>
        <v>No</v>
      </c>
      <c r="L150" s="35"/>
      <c r="M150" s="35" t="s">
        <v>234</v>
      </c>
      <c r="N150" s="35" t="s">
        <v>146</v>
      </c>
      <c r="O150" s="35">
        <f t="shared" si="13"/>
        <v>147</v>
      </c>
      <c r="P150" s="35" t="s">
        <v>147</v>
      </c>
      <c r="Q150" s="35">
        <f t="shared" si="14"/>
        <v>85</v>
      </c>
      <c r="R150" s="33" t="s">
        <v>154</v>
      </c>
      <c r="S150" s="41" t="s">
        <v>253</v>
      </c>
      <c r="T150" s="35"/>
      <c r="U150" s="35"/>
      <c r="V150" s="35">
        <v>10</v>
      </c>
      <c r="W150" s="35" t="s">
        <v>151</v>
      </c>
      <c r="X150" s="35" t="s">
        <v>152</v>
      </c>
      <c r="Y150" s="2"/>
      <c r="Z150" s="2"/>
    </row>
    <row r="151" spans="1:26" ht="12" customHeight="1">
      <c r="A151" s="34">
        <v>148</v>
      </c>
      <c r="B151" s="35" t="s">
        <v>319</v>
      </c>
      <c r="C151" s="35" t="s">
        <v>30</v>
      </c>
      <c r="D151" s="35">
        <v>61</v>
      </c>
      <c r="E151" s="34">
        <v>61</v>
      </c>
      <c r="F151" s="34">
        <v>10</v>
      </c>
      <c r="G151" s="34">
        <v>148</v>
      </c>
      <c r="H151" s="34">
        <v>148</v>
      </c>
      <c r="I151" s="34">
        <f t="shared" si="12"/>
        <v>0</v>
      </c>
      <c r="J151" s="35" t="s">
        <v>147</v>
      </c>
      <c r="K151" s="35" t="str">
        <f>IF(COUNTIF('Draft Tracker'!$E$4:$E$147,B151)&gt;0,"Yes","No")</f>
        <v>No</v>
      </c>
      <c r="L151" s="35"/>
      <c r="M151" s="35" t="s">
        <v>234</v>
      </c>
      <c r="N151" s="35" t="s">
        <v>146</v>
      </c>
      <c r="O151" s="35">
        <f t="shared" si="13"/>
        <v>148</v>
      </c>
      <c r="P151" s="35" t="s">
        <v>147</v>
      </c>
      <c r="Q151" s="35">
        <f t="shared" si="14"/>
        <v>86</v>
      </c>
      <c r="R151" s="33" t="s">
        <v>154</v>
      </c>
      <c r="S151" s="41" t="s">
        <v>253</v>
      </c>
      <c r="T151" s="35"/>
      <c r="U151" s="35"/>
      <c r="V151" s="35">
        <v>10</v>
      </c>
      <c r="W151" s="35" t="s">
        <v>151</v>
      </c>
      <c r="X151" s="35" t="s">
        <v>152</v>
      </c>
      <c r="Y151" s="2"/>
      <c r="Z151" s="2"/>
    </row>
    <row r="152" spans="1:26" ht="12" customHeight="1">
      <c r="A152" s="34">
        <v>149</v>
      </c>
      <c r="B152" s="35" t="s">
        <v>320</v>
      </c>
      <c r="C152" s="35" t="s">
        <v>28</v>
      </c>
      <c r="D152" s="35">
        <v>43</v>
      </c>
      <c r="E152" s="34">
        <v>43</v>
      </c>
      <c r="F152" s="34">
        <v>10</v>
      </c>
      <c r="G152" s="34">
        <v>149</v>
      </c>
      <c r="H152" s="34">
        <v>149</v>
      </c>
      <c r="I152" s="34">
        <f t="shared" si="12"/>
        <v>0</v>
      </c>
      <c r="J152" s="35" t="s">
        <v>147</v>
      </c>
      <c r="K152" s="35" t="str">
        <f>IF(COUNTIF('Draft Tracker'!$E$4:$E$147,B152)&gt;0,"Yes","No")</f>
        <v>No</v>
      </c>
      <c r="L152" s="35"/>
      <c r="M152" s="35" t="s">
        <v>234</v>
      </c>
      <c r="N152" s="35" t="s">
        <v>146</v>
      </c>
      <c r="O152" s="35">
        <f t="shared" si="13"/>
        <v>149</v>
      </c>
      <c r="P152" s="35" t="s">
        <v>147</v>
      </c>
      <c r="Q152" s="35">
        <f t="shared" si="14"/>
        <v>87</v>
      </c>
      <c r="R152" s="33" t="s">
        <v>216</v>
      </c>
      <c r="S152" s="41" t="s">
        <v>253</v>
      </c>
      <c r="T152" s="35"/>
      <c r="U152" s="35"/>
      <c r="V152" s="35">
        <v>10</v>
      </c>
      <c r="W152" s="35" t="s">
        <v>151</v>
      </c>
      <c r="X152" s="35" t="s">
        <v>152</v>
      </c>
      <c r="Y152" s="2"/>
      <c r="Z152" s="2"/>
    </row>
    <row r="153" spans="1:26" ht="12" customHeight="1">
      <c r="A153" s="34">
        <v>150</v>
      </c>
      <c r="B153" s="35" t="s">
        <v>321</v>
      </c>
      <c r="C153" s="35" t="s">
        <v>28</v>
      </c>
      <c r="D153" s="35">
        <v>44</v>
      </c>
      <c r="E153" s="34">
        <v>44</v>
      </c>
      <c r="F153" s="34">
        <v>10</v>
      </c>
      <c r="G153" s="34">
        <v>150</v>
      </c>
      <c r="H153" s="34">
        <v>150</v>
      </c>
      <c r="I153" s="34">
        <f t="shared" si="12"/>
        <v>0</v>
      </c>
      <c r="J153" s="35" t="s">
        <v>147</v>
      </c>
      <c r="K153" s="35" t="str">
        <f>IF(COUNTIF('Draft Tracker'!$E$4:$E$147,B153)&gt;0,"Yes","No")</f>
        <v>No</v>
      </c>
      <c r="L153" s="35"/>
      <c r="M153" s="35" t="s">
        <v>234</v>
      </c>
      <c r="N153" s="35" t="s">
        <v>146</v>
      </c>
      <c r="O153" s="35">
        <f t="shared" si="13"/>
        <v>150</v>
      </c>
      <c r="P153" s="35" t="s">
        <v>147</v>
      </c>
      <c r="Q153" s="35">
        <f t="shared" si="14"/>
        <v>88</v>
      </c>
      <c r="R153" s="33" t="s">
        <v>154</v>
      </c>
      <c r="S153" s="41" t="s">
        <v>253</v>
      </c>
      <c r="T153" s="35"/>
      <c r="U153" s="35"/>
      <c r="V153" s="35">
        <v>10</v>
      </c>
      <c r="W153" s="35" t="s">
        <v>151</v>
      </c>
      <c r="X153" s="35" t="s">
        <v>152</v>
      </c>
      <c r="Y153" s="2"/>
      <c r="Z153" s="2"/>
    </row>
    <row r="154" spans="1:26" ht="12" customHeight="1">
      <c r="A154" s="34">
        <v>151</v>
      </c>
      <c r="B154" s="35" t="s">
        <v>322</v>
      </c>
      <c r="C154" s="35" t="s">
        <v>30</v>
      </c>
      <c r="D154" s="35">
        <v>62</v>
      </c>
      <c r="E154" s="34">
        <v>62</v>
      </c>
      <c r="F154" s="34">
        <v>10</v>
      </c>
      <c r="G154" s="34">
        <v>151</v>
      </c>
      <c r="H154" s="34">
        <v>151</v>
      </c>
      <c r="I154" s="34">
        <f t="shared" si="12"/>
        <v>0</v>
      </c>
      <c r="J154" s="35" t="s">
        <v>147</v>
      </c>
      <c r="K154" s="35" t="str">
        <f>IF(COUNTIF('Draft Tracker'!$E$4:$E$147,B154)&gt;0,"Yes","No")</f>
        <v>No</v>
      </c>
      <c r="L154" s="35"/>
      <c r="M154" s="35" t="s">
        <v>234</v>
      </c>
      <c r="N154" s="35" t="s">
        <v>146</v>
      </c>
      <c r="O154" s="35">
        <f t="shared" si="13"/>
        <v>151</v>
      </c>
      <c r="P154" s="35" t="s">
        <v>147</v>
      </c>
      <c r="Q154" s="35">
        <f t="shared" si="14"/>
        <v>89</v>
      </c>
      <c r="R154" s="33" t="s">
        <v>154</v>
      </c>
      <c r="S154" s="41" t="s">
        <v>253</v>
      </c>
      <c r="T154" s="35"/>
      <c r="U154" s="35"/>
      <c r="V154" s="35">
        <v>10</v>
      </c>
      <c r="W154" s="35" t="s">
        <v>151</v>
      </c>
      <c r="X154" s="35" t="s">
        <v>152</v>
      </c>
      <c r="Y154" s="2"/>
      <c r="Z154" s="2"/>
    </row>
    <row r="155" spans="1:26" ht="12" customHeight="1">
      <c r="A155" s="34">
        <v>152</v>
      </c>
      <c r="B155" s="35" t="s">
        <v>323</v>
      </c>
      <c r="C155" s="35" t="s">
        <v>30</v>
      </c>
      <c r="D155" s="35">
        <v>63</v>
      </c>
      <c r="E155" s="34">
        <v>63</v>
      </c>
      <c r="F155" s="34">
        <v>10</v>
      </c>
      <c r="G155" s="34">
        <v>152</v>
      </c>
      <c r="H155" s="34">
        <v>152</v>
      </c>
      <c r="I155" s="34">
        <f t="shared" si="12"/>
        <v>0</v>
      </c>
      <c r="J155" s="35" t="s">
        <v>147</v>
      </c>
      <c r="K155" s="35" t="str">
        <f>IF(COUNTIF('Draft Tracker'!$E$4:$E$147,B155)&gt;0,"Yes","No")</f>
        <v>No</v>
      </c>
      <c r="L155" s="35"/>
      <c r="M155" s="35" t="s">
        <v>234</v>
      </c>
      <c r="N155" s="35" t="s">
        <v>146</v>
      </c>
      <c r="O155" s="35">
        <f t="shared" si="13"/>
        <v>152</v>
      </c>
      <c r="P155" s="35" t="s">
        <v>147</v>
      </c>
      <c r="Q155" s="35">
        <f t="shared" si="14"/>
        <v>90</v>
      </c>
      <c r="R155" s="33" t="s">
        <v>154</v>
      </c>
      <c r="S155" s="41" t="s">
        <v>253</v>
      </c>
      <c r="T155" s="35"/>
      <c r="U155" s="35"/>
      <c r="V155" s="35">
        <v>10</v>
      </c>
      <c r="W155" s="35" t="s">
        <v>151</v>
      </c>
      <c r="X155" s="35" t="s">
        <v>152</v>
      </c>
      <c r="Y155" s="2"/>
      <c r="Z155" s="2"/>
    </row>
    <row r="156" spans="1:26" ht="12" customHeight="1">
      <c r="A156" s="34">
        <v>153</v>
      </c>
      <c r="B156" s="35" t="s">
        <v>324</v>
      </c>
      <c r="C156" s="35" t="s">
        <v>30</v>
      </c>
      <c r="D156" s="35">
        <v>64</v>
      </c>
      <c r="E156" s="34">
        <v>64</v>
      </c>
      <c r="F156" s="34">
        <v>10</v>
      </c>
      <c r="G156" s="34">
        <v>153</v>
      </c>
      <c r="H156" s="34">
        <v>153</v>
      </c>
      <c r="I156" s="34">
        <f t="shared" si="12"/>
        <v>0</v>
      </c>
      <c r="J156" s="35" t="s">
        <v>147</v>
      </c>
      <c r="K156" s="35" t="str">
        <f>IF(COUNTIF('Draft Tracker'!$E$4:$E$147,B156)&gt;0,"Yes","No")</f>
        <v>No</v>
      </c>
      <c r="L156" s="35"/>
      <c r="M156" s="35" t="s">
        <v>234</v>
      </c>
      <c r="N156" s="35" t="s">
        <v>146</v>
      </c>
      <c r="O156" s="35">
        <f t="shared" si="13"/>
        <v>153</v>
      </c>
      <c r="P156" s="35" t="s">
        <v>147</v>
      </c>
      <c r="Q156" s="35">
        <f t="shared" si="14"/>
        <v>91</v>
      </c>
      <c r="R156" s="33" t="s">
        <v>154</v>
      </c>
      <c r="S156" s="41" t="s">
        <v>253</v>
      </c>
      <c r="T156" s="35"/>
      <c r="U156" s="35"/>
      <c r="V156" s="35">
        <v>10</v>
      </c>
      <c r="W156" s="35" t="s">
        <v>151</v>
      </c>
      <c r="X156" s="35" t="s">
        <v>152</v>
      </c>
      <c r="Y156" s="2"/>
      <c r="Z156" s="2"/>
    </row>
    <row r="157" spans="1:26" ht="12" customHeight="1">
      <c r="A157" s="34">
        <v>154</v>
      </c>
      <c r="B157" s="35" t="s">
        <v>325</v>
      </c>
      <c r="C157" s="35" t="s">
        <v>30</v>
      </c>
      <c r="D157" s="35">
        <v>65</v>
      </c>
      <c r="E157" s="34">
        <v>65</v>
      </c>
      <c r="F157" s="34">
        <v>10</v>
      </c>
      <c r="G157" s="34">
        <v>154</v>
      </c>
      <c r="H157" s="34">
        <v>154</v>
      </c>
      <c r="I157" s="34">
        <f t="shared" si="12"/>
        <v>0</v>
      </c>
      <c r="J157" s="35" t="s">
        <v>147</v>
      </c>
      <c r="K157" s="35" t="str">
        <f>IF(COUNTIF('Draft Tracker'!$E$4:$E$147,B157)&gt;0,"Yes","No")</f>
        <v>No</v>
      </c>
      <c r="L157" s="35"/>
      <c r="M157" s="35" t="s">
        <v>234</v>
      </c>
      <c r="N157" s="35" t="s">
        <v>146</v>
      </c>
      <c r="O157" s="35">
        <f t="shared" si="13"/>
        <v>154</v>
      </c>
      <c r="P157" s="35" t="s">
        <v>147</v>
      </c>
      <c r="Q157" s="35">
        <f t="shared" si="14"/>
        <v>92</v>
      </c>
      <c r="R157" s="33" t="s">
        <v>154</v>
      </c>
      <c r="S157" s="41" t="s">
        <v>253</v>
      </c>
      <c r="T157" s="35"/>
      <c r="U157" s="35"/>
      <c r="V157" s="35">
        <v>10</v>
      </c>
      <c r="W157" s="35" t="s">
        <v>151</v>
      </c>
      <c r="X157" s="35" t="s">
        <v>152</v>
      </c>
      <c r="Y157" s="2"/>
      <c r="Z157" s="2"/>
    </row>
    <row r="158" spans="1:26" ht="12" customHeight="1">
      <c r="A158" s="34">
        <v>155</v>
      </c>
      <c r="B158" s="35" t="s">
        <v>326</v>
      </c>
      <c r="C158" s="35" t="s">
        <v>32</v>
      </c>
      <c r="D158" s="35">
        <v>18</v>
      </c>
      <c r="E158" s="34">
        <v>18</v>
      </c>
      <c r="F158" s="34">
        <v>10</v>
      </c>
      <c r="G158" s="34">
        <v>155</v>
      </c>
      <c r="H158" s="34">
        <v>155</v>
      </c>
      <c r="I158" s="34">
        <f t="shared" si="12"/>
        <v>0</v>
      </c>
      <c r="J158" s="35" t="s">
        <v>147</v>
      </c>
      <c r="K158" s="35" t="str">
        <f>IF(COUNTIF('Draft Tracker'!$E$4:$E$147,B158)&gt;0,"Yes","No")</f>
        <v>No</v>
      </c>
      <c r="L158" s="35"/>
      <c r="M158" s="35" t="s">
        <v>234</v>
      </c>
      <c r="N158" s="35" t="s">
        <v>221</v>
      </c>
      <c r="O158" s="35">
        <f t="shared" si="13"/>
        <v>155</v>
      </c>
      <c r="P158" s="35" t="s">
        <v>147</v>
      </c>
      <c r="Q158" s="35">
        <f t="shared" si="14"/>
        <v>93</v>
      </c>
      <c r="R158" s="33" t="s">
        <v>154</v>
      </c>
      <c r="S158" s="41" t="s">
        <v>253</v>
      </c>
      <c r="T158" s="35"/>
      <c r="U158" s="35"/>
      <c r="V158" s="35">
        <v>10</v>
      </c>
      <c r="W158" s="35" t="s">
        <v>151</v>
      </c>
      <c r="X158" s="35" t="s">
        <v>152</v>
      </c>
      <c r="Y158" s="2"/>
      <c r="Z158" s="2"/>
    </row>
    <row r="159" spans="1:26" ht="12" customHeight="1">
      <c r="A159" s="34">
        <v>156</v>
      </c>
      <c r="B159" s="35" t="s">
        <v>327</v>
      </c>
      <c r="C159" s="35" t="s">
        <v>28</v>
      </c>
      <c r="D159" s="35">
        <v>45</v>
      </c>
      <c r="E159" s="34">
        <v>45</v>
      </c>
      <c r="F159" s="34">
        <v>10</v>
      </c>
      <c r="G159" s="34">
        <v>156</v>
      </c>
      <c r="H159" s="34">
        <v>156</v>
      </c>
      <c r="I159" s="34">
        <f t="shared" si="12"/>
        <v>0</v>
      </c>
      <c r="J159" s="35" t="s">
        <v>147</v>
      </c>
      <c r="K159" s="35" t="str">
        <f>IF(COUNTIF('Draft Tracker'!$E$4:$E$147,B159)&gt;0,"Yes","No")</f>
        <v>No</v>
      </c>
      <c r="L159" s="35"/>
      <c r="M159" s="35" t="s">
        <v>234</v>
      </c>
      <c r="N159" s="35" t="s">
        <v>146</v>
      </c>
      <c r="O159" s="35">
        <f t="shared" si="13"/>
        <v>156</v>
      </c>
      <c r="P159" s="35" t="s">
        <v>147</v>
      </c>
      <c r="Q159" s="35">
        <f t="shared" si="14"/>
        <v>94</v>
      </c>
      <c r="R159" s="33" t="s">
        <v>154</v>
      </c>
      <c r="S159" s="41" t="s">
        <v>253</v>
      </c>
      <c r="T159" s="35"/>
      <c r="U159" s="35"/>
      <c r="V159" s="35">
        <v>10</v>
      </c>
      <c r="W159" s="35" t="s">
        <v>151</v>
      </c>
      <c r="X159" s="35" t="s">
        <v>152</v>
      </c>
      <c r="Y159" s="2"/>
      <c r="Z159" s="2"/>
    </row>
    <row r="160" spans="1:26" ht="12" customHeight="1">
      <c r="A160" s="34">
        <v>157</v>
      </c>
      <c r="B160" s="35" t="s">
        <v>328</v>
      </c>
      <c r="C160" s="35" t="s">
        <v>28</v>
      </c>
      <c r="D160" s="35">
        <v>46</v>
      </c>
      <c r="E160" s="34">
        <v>46</v>
      </c>
      <c r="F160" s="34">
        <v>10</v>
      </c>
      <c r="G160" s="34">
        <v>157</v>
      </c>
      <c r="H160" s="34">
        <v>157</v>
      </c>
      <c r="I160" s="34">
        <f t="shared" si="12"/>
        <v>0</v>
      </c>
      <c r="J160" s="35" t="s">
        <v>147</v>
      </c>
      <c r="K160" s="35" t="str">
        <f>IF(COUNTIF('Draft Tracker'!$E$4:$E$147,B160)&gt;0,"Yes","No")</f>
        <v>No</v>
      </c>
      <c r="L160" s="35"/>
      <c r="M160" s="35" t="s">
        <v>234</v>
      </c>
      <c r="N160" s="35" t="s">
        <v>146</v>
      </c>
      <c r="O160" s="35">
        <f t="shared" si="13"/>
        <v>157</v>
      </c>
      <c r="P160" s="35" t="s">
        <v>147</v>
      </c>
      <c r="Q160" s="35">
        <f t="shared" si="14"/>
        <v>95</v>
      </c>
      <c r="R160" s="33" t="s">
        <v>154</v>
      </c>
      <c r="S160" s="41" t="s">
        <v>253</v>
      </c>
      <c r="T160" s="35"/>
      <c r="U160" s="35"/>
      <c r="V160" s="35">
        <v>10</v>
      </c>
      <c r="W160" s="35" t="s">
        <v>151</v>
      </c>
      <c r="X160" s="35" t="s">
        <v>152</v>
      </c>
      <c r="Y160" s="2"/>
      <c r="Z160" s="2"/>
    </row>
    <row r="161" spans="1:26" ht="12" customHeight="1">
      <c r="A161" s="34">
        <v>158</v>
      </c>
      <c r="B161" s="35" t="s">
        <v>329</v>
      </c>
      <c r="C161" s="35" t="s">
        <v>28</v>
      </c>
      <c r="D161" s="35">
        <v>47</v>
      </c>
      <c r="E161" s="34">
        <v>47</v>
      </c>
      <c r="F161" s="34">
        <v>10</v>
      </c>
      <c r="G161" s="34">
        <v>158</v>
      </c>
      <c r="H161" s="34">
        <v>158</v>
      </c>
      <c r="I161" s="34">
        <f t="shared" si="12"/>
        <v>0</v>
      </c>
      <c r="J161" s="35" t="s">
        <v>0</v>
      </c>
      <c r="K161" s="35" t="str">
        <f>IF(COUNTIF('Draft Tracker'!$E$4:$E$147,B161)&gt;0,"Yes","No")</f>
        <v>No</v>
      </c>
      <c r="L161" s="35" t="s">
        <v>3</v>
      </c>
      <c r="M161" s="35" t="s">
        <v>145</v>
      </c>
      <c r="N161" s="35" t="s">
        <v>146</v>
      </c>
      <c r="O161" s="35">
        <f t="shared" si="13"/>
        <v>9999</v>
      </c>
      <c r="P161" s="35" t="s">
        <v>147</v>
      </c>
      <c r="Q161" s="35" t="str">
        <f t="shared" si="14"/>
        <v/>
      </c>
      <c r="R161" s="33" t="s">
        <v>154</v>
      </c>
      <c r="S161" s="41" t="s">
        <v>253</v>
      </c>
      <c r="T161" s="35"/>
      <c r="U161" s="35"/>
      <c r="V161" s="35">
        <v>10</v>
      </c>
      <c r="W161" s="35" t="s">
        <v>151</v>
      </c>
      <c r="X161" s="35" t="s">
        <v>152</v>
      </c>
      <c r="Y161" s="2"/>
      <c r="Z161" s="2"/>
    </row>
    <row r="162" spans="1:26" ht="12" customHeight="1">
      <c r="A162" s="34">
        <v>159</v>
      </c>
      <c r="B162" s="35" t="s">
        <v>330</v>
      </c>
      <c r="C162" s="35" t="s">
        <v>30</v>
      </c>
      <c r="D162" s="35">
        <v>66</v>
      </c>
      <c r="E162" s="34">
        <v>66</v>
      </c>
      <c r="F162" s="34">
        <v>10</v>
      </c>
      <c r="G162" s="34">
        <v>159</v>
      </c>
      <c r="H162" s="34">
        <v>159</v>
      </c>
      <c r="I162" s="34">
        <f t="shared" si="12"/>
        <v>0</v>
      </c>
      <c r="J162" s="35" t="s">
        <v>147</v>
      </c>
      <c r="K162" s="35" t="str">
        <f>IF(COUNTIF('Draft Tracker'!$E$4:$E$147,B162)&gt;0,"Yes","No")</f>
        <v>No</v>
      </c>
      <c r="L162" s="35"/>
      <c r="M162" s="35" t="s">
        <v>234</v>
      </c>
      <c r="N162" s="35" t="s">
        <v>146</v>
      </c>
      <c r="O162" s="35">
        <f t="shared" si="13"/>
        <v>159</v>
      </c>
      <c r="P162" s="35" t="s">
        <v>147</v>
      </c>
      <c r="Q162" s="35">
        <f t="shared" si="14"/>
        <v>96</v>
      </c>
      <c r="R162" s="33" t="s">
        <v>154</v>
      </c>
      <c r="S162" s="41" t="s">
        <v>253</v>
      </c>
      <c r="T162" s="35"/>
      <c r="U162" s="35"/>
      <c r="V162" s="35">
        <v>10</v>
      </c>
      <c r="W162" s="35" t="s">
        <v>151</v>
      </c>
      <c r="X162" s="35" t="s">
        <v>152</v>
      </c>
      <c r="Y162" s="2"/>
      <c r="Z162" s="2"/>
    </row>
    <row r="163" spans="1:26" ht="12" customHeight="1">
      <c r="A163" s="34">
        <v>160</v>
      </c>
      <c r="B163" s="35" t="s">
        <v>331</v>
      </c>
      <c r="C163" s="35" t="s">
        <v>30</v>
      </c>
      <c r="D163" s="35">
        <v>67</v>
      </c>
      <c r="E163" s="34">
        <v>67</v>
      </c>
      <c r="F163" s="34">
        <v>10</v>
      </c>
      <c r="G163" s="34">
        <v>160</v>
      </c>
      <c r="H163" s="34">
        <v>160</v>
      </c>
      <c r="I163" s="34">
        <f t="shared" si="12"/>
        <v>0</v>
      </c>
      <c r="J163" s="35" t="s">
        <v>147</v>
      </c>
      <c r="K163" s="35" t="str">
        <f>IF(COUNTIF('Draft Tracker'!$E$4:$E$147,B163)&gt;0,"Yes","No")</f>
        <v>No</v>
      </c>
      <c r="L163" s="35"/>
      <c r="M163" s="35" t="s">
        <v>234</v>
      </c>
      <c r="N163" s="35" t="s">
        <v>146</v>
      </c>
      <c r="O163" s="35">
        <f t="shared" si="13"/>
        <v>160</v>
      </c>
      <c r="P163" s="35" t="s">
        <v>147</v>
      </c>
      <c r="Q163" s="35">
        <f t="shared" si="14"/>
        <v>97</v>
      </c>
      <c r="R163" s="33" t="s">
        <v>154</v>
      </c>
      <c r="S163" s="41" t="s">
        <v>253</v>
      </c>
      <c r="T163" s="35"/>
      <c r="U163" s="35"/>
      <c r="V163" s="35">
        <v>10</v>
      </c>
      <c r="W163" s="35" t="s">
        <v>151</v>
      </c>
      <c r="X163" s="35" t="s">
        <v>152</v>
      </c>
      <c r="Y163" s="2"/>
      <c r="Z163" s="2"/>
    </row>
    <row r="164" spans="1:26" ht="13.9">
      <c r="A164" s="7">
        <v>161</v>
      </c>
      <c r="B164" s="2" t="s">
        <v>332</v>
      </c>
      <c r="C164" s="2" t="s">
        <v>30</v>
      </c>
      <c r="D164" s="2" t="s">
        <v>333</v>
      </c>
      <c r="E164" s="7">
        <v>68</v>
      </c>
      <c r="F164" s="7">
        <v>10</v>
      </c>
      <c r="G164" s="7">
        <v>161</v>
      </c>
      <c r="H164" s="7">
        <v>161</v>
      </c>
      <c r="I164" s="7">
        <f t="shared" ref="I164:I195" si="15">G164-H164</f>
        <v>0</v>
      </c>
      <c r="J164" s="2" t="s">
        <v>0</v>
      </c>
      <c r="K164" s="2" t="str">
        <f>IF(COUNTIF('Draft Tracker'!$E$4:$E$147,B164)&gt;0,"Yes","No")</f>
        <v>No</v>
      </c>
      <c r="L164" s="2" t="s">
        <v>3</v>
      </c>
      <c r="M164" s="2" t="str">
        <f>IF(OR(J164="Yes",K164="Yes"),"Avoid",IF(COUNTIFS($O$4:$O$164,"&lt;="&amp;O164)&lt;=5,"Strong",IF(COUNTIFS($O$4:$O$164,"&lt;="&amp;O164)&lt;=25,"Value","Late")))</f>
        <v>Avoid</v>
      </c>
      <c r="N164" s="2" t="s">
        <v>334</v>
      </c>
      <c r="O164" s="2">
        <f t="shared" si="13"/>
        <v>9999</v>
      </c>
      <c r="P164" s="2" t="s">
        <v>147</v>
      </c>
      <c r="Q164" s="2"/>
      <c r="R164" s="31"/>
      <c r="S164" s="32"/>
      <c r="T164" s="2"/>
      <c r="U164" s="2"/>
      <c r="V164" s="2"/>
      <c r="W164" s="2"/>
      <c r="X164" s="2"/>
      <c r="Y164" s="2"/>
      <c r="Z164" s="2"/>
    </row>
    <row r="165" spans="1:26" ht="13.9">
      <c r="A165" s="7"/>
      <c r="B165" s="2"/>
      <c r="C165" s="2"/>
      <c r="D165" s="2"/>
      <c r="E165" s="7"/>
      <c r="F165" s="7"/>
      <c r="G165" s="7"/>
      <c r="H165" s="7"/>
      <c r="I165" s="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9">
      <c r="A166" s="7"/>
      <c r="B166" s="2"/>
      <c r="C166" s="2"/>
      <c r="D166" s="2"/>
      <c r="E166" s="7"/>
      <c r="F166" s="7"/>
      <c r="G166" s="7"/>
      <c r="H166" s="7"/>
      <c r="I166" s="7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9">
      <c r="A167" s="7"/>
      <c r="B167" s="2"/>
      <c r="C167" s="2"/>
      <c r="D167" s="2"/>
      <c r="E167" s="7"/>
      <c r="F167" s="7"/>
      <c r="G167" s="7"/>
      <c r="H167" s="7"/>
      <c r="I167" s="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9">
      <c r="A168" s="7"/>
      <c r="B168" s="2"/>
      <c r="C168" s="2"/>
      <c r="D168" s="2"/>
      <c r="E168" s="7"/>
      <c r="F168" s="7"/>
      <c r="G168" s="7"/>
      <c r="H168" s="7"/>
      <c r="I168" s="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9">
      <c r="A169" s="7"/>
      <c r="B169" s="2"/>
      <c r="C169" s="2"/>
      <c r="D169" s="2"/>
      <c r="E169" s="7"/>
      <c r="F169" s="7"/>
      <c r="G169" s="7"/>
      <c r="H169" s="7"/>
      <c r="I169" s="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9">
      <c r="A170" s="7"/>
      <c r="B170" s="2"/>
      <c r="C170" s="2"/>
      <c r="D170" s="2"/>
      <c r="E170" s="7"/>
      <c r="F170" s="7"/>
      <c r="G170" s="7"/>
      <c r="H170" s="7"/>
      <c r="I170" s="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9">
      <c r="A171" s="7"/>
      <c r="B171" s="2"/>
      <c r="C171" s="2"/>
      <c r="D171" s="2"/>
      <c r="E171" s="7"/>
      <c r="F171" s="7"/>
      <c r="G171" s="7"/>
      <c r="H171" s="7"/>
      <c r="I171" s="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9">
      <c r="A172" s="7"/>
      <c r="B172" s="2"/>
      <c r="C172" s="2"/>
      <c r="D172" s="2"/>
      <c r="E172" s="7"/>
      <c r="F172" s="7"/>
      <c r="G172" s="7"/>
      <c r="H172" s="7"/>
      <c r="I172" s="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9">
      <c r="A173" s="7"/>
      <c r="B173" s="2"/>
      <c r="C173" s="2"/>
      <c r="D173" s="2"/>
      <c r="E173" s="7"/>
      <c r="F173" s="7"/>
      <c r="G173" s="7"/>
      <c r="H173" s="7"/>
      <c r="I173" s="7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9">
      <c r="A174" s="7"/>
      <c r="B174" s="2"/>
      <c r="C174" s="2"/>
      <c r="D174" s="2"/>
      <c r="E174" s="7"/>
      <c r="F174" s="7"/>
      <c r="G174" s="7"/>
      <c r="H174" s="7"/>
      <c r="I174" s="7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9">
      <c r="A175" s="7"/>
      <c r="B175" s="2"/>
      <c r="C175" s="2"/>
      <c r="D175" s="2"/>
      <c r="E175" s="7"/>
      <c r="F175" s="7"/>
      <c r="G175" s="7"/>
      <c r="H175" s="7"/>
      <c r="I175" s="7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9">
      <c r="A176" s="7"/>
      <c r="B176" s="2"/>
      <c r="C176" s="2"/>
      <c r="D176" s="2"/>
      <c r="E176" s="7"/>
      <c r="F176" s="7"/>
      <c r="G176" s="7"/>
      <c r="H176" s="7"/>
      <c r="I176" s="7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9">
      <c r="A177" s="7"/>
      <c r="B177" s="2"/>
      <c r="C177" s="2"/>
      <c r="D177" s="2"/>
      <c r="E177" s="7"/>
      <c r="F177" s="7"/>
      <c r="G177" s="7"/>
      <c r="H177" s="7"/>
      <c r="I177" s="7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9">
      <c r="A178" s="7"/>
      <c r="B178" s="2"/>
      <c r="C178" s="2"/>
      <c r="D178" s="2"/>
      <c r="E178" s="7"/>
      <c r="F178" s="7"/>
      <c r="G178" s="7"/>
      <c r="H178" s="7"/>
      <c r="I178" s="7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9">
      <c r="A179" s="7"/>
      <c r="B179" s="2"/>
      <c r="C179" s="2"/>
      <c r="D179" s="2"/>
      <c r="E179" s="7"/>
      <c r="F179" s="7"/>
      <c r="G179" s="7"/>
      <c r="H179" s="7"/>
      <c r="I179" s="7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9">
      <c r="A180" s="7"/>
      <c r="B180" s="2"/>
      <c r="C180" s="2"/>
      <c r="D180" s="2"/>
      <c r="E180" s="7"/>
      <c r="F180" s="7"/>
      <c r="G180" s="7"/>
      <c r="H180" s="7"/>
      <c r="I180" s="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9">
      <c r="A181" s="7"/>
      <c r="B181" s="2"/>
      <c r="C181" s="2"/>
      <c r="D181" s="2"/>
      <c r="E181" s="7"/>
      <c r="F181" s="7"/>
      <c r="G181" s="7"/>
      <c r="H181" s="7"/>
      <c r="I181" s="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9">
      <c r="A182" s="7"/>
      <c r="B182" s="2"/>
      <c r="C182" s="2"/>
      <c r="D182" s="2"/>
      <c r="E182" s="7"/>
      <c r="F182" s="7"/>
      <c r="G182" s="7"/>
      <c r="H182" s="7"/>
      <c r="I182" s="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9">
      <c r="A183" s="7"/>
      <c r="B183" s="2"/>
      <c r="C183" s="2"/>
      <c r="D183" s="2"/>
      <c r="E183" s="7"/>
      <c r="F183" s="7"/>
      <c r="G183" s="7"/>
      <c r="H183" s="7"/>
      <c r="I183" s="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9">
      <c r="A184" s="7"/>
      <c r="B184" s="2"/>
      <c r="C184" s="2"/>
      <c r="D184" s="2"/>
      <c r="E184" s="7"/>
      <c r="F184" s="7"/>
      <c r="G184" s="7"/>
      <c r="H184" s="7"/>
      <c r="I184" s="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9">
      <c r="A185" s="7"/>
      <c r="B185" s="2"/>
      <c r="C185" s="2"/>
      <c r="D185" s="2"/>
      <c r="E185" s="7"/>
      <c r="F185" s="7"/>
      <c r="G185" s="7"/>
      <c r="H185" s="7"/>
      <c r="I185" s="7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9">
      <c r="A186" s="7"/>
      <c r="B186" s="2"/>
      <c r="C186" s="2"/>
      <c r="D186" s="2"/>
      <c r="E186" s="7"/>
      <c r="F186" s="7"/>
      <c r="G186" s="7"/>
      <c r="H186" s="7"/>
      <c r="I186" s="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9">
      <c r="A187" s="7"/>
      <c r="B187" s="2"/>
      <c r="C187" s="2"/>
      <c r="D187" s="2"/>
      <c r="E187" s="7"/>
      <c r="F187" s="7"/>
      <c r="G187" s="7"/>
      <c r="H187" s="7"/>
      <c r="I187" s="7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9">
      <c r="A188" s="7"/>
      <c r="B188" s="2"/>
      <c r="C188" s="2"/>
      <c r="D188" s="2"/>
      <c r="E188" s="7"/>
      <c r="F188" s="7"/>
      <c r="G188" s="7"/>
      <c r="H188" s="7"/>
      <c r="I188" s="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9">
      <c r="A189" s="7"/>
      <c r="B189" s="2"/>
      <c r="C189" s="2"/>
      <c r="D189" s="2"/>
      <c r="E189" s="7"/>
      <c r="F189" s="7"/>
      <c r="G189" s="7"/>
      <c r="H189" s="7"/>
      <c r="I189" s="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9">
      <c r="A190" s="7"/>
      <c r="B190" s="2"/>
      <c r="C190" s="2"/>
      <c r="D190" s="2"/>
      <c r="E190" s="7"/>
      <c r="F190" s="7"/>
      <c r="G190" s="7"/>
      <c r="H190" s="7"/>
      <c r="I190" s="7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9">
      <c r="A191" s="7"/>
      <c r="B191" s="2"/>
      <c r="C191" s="2"/>
      <c r="D191" s="2"/>
      <c r="E191" s="7"/>
      <c r="F191" s="7"/>
      <c r="G191" s="7"/>
      <c r="H191" s="7"/>
      <c r="I191" s="7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9">
      <c r="A192" s="7"/>
      <c r="B192" s="2"/>
      <c r="C192" s="2"/>
      <c r="D192" s="2"/>
      <c r="E192" s="7"/>
      <c r="F192" s="7"/>
      <c r="G192" s="7"/>
      <c r="H192" s="7"/>
      <c r="I192" s="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9">
      <c r="A193" s="7"/>
      <c r="B193" s="2"/>
      <c r="C193" s="2"/>
      <c r="D193" s="2"/>
      <c r="E193" s="7"/>
      <c r="F193" s="7"/>
      <c r="G193" s="7"/>
      <c r="H193" s="7"/>
      <c r="I193" s="7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9">
      <c r="A194" s="7"/>
      <c r="B194" s="2"/>
      <c r="C194" s="2"/>
      <c r="D194" s="2"/>
      <c r="E194" s="7"/>
      <c r="F194" s="7"/>
      <c r="G194" s="7"/>
      <c r="H194" s="7"/>
      <c r="I194" s="7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9">
      <c r="A195" s="7"/>
      <c r="B195" s="2"/>
      <c r="C195" s="2"/>
      <c r="D195" s="2"/>
      <c r="E195" s="7"/>
      <c r="F195" s="7"/>
      <c r="G195" s="7"/>
      <c r="H195" s="7"/>
      <c r="I195" s="7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9">
      <c r="A196" s="7"/>
      <c r="B196" s="2"/>
      <c r="C196" s="2"/>
      <c r="D196" s="2"/>
      <c r="E196" s="7"/>
      <c r="F196" s="7"/>
      <c r="G196" s="7"/>
      <c r="H196" s="7"/>
      <c r="I196" s="7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9">
      <c r="A197" s="7"/>
      <c r="B197" s="2"/>
      <c r="C197" s="2"/>
      <c r="D197" s="2"/>
      <c r="E197" s="7"/>
      <c r="F197" s="7"/>
      <c r="G197" s="7"/>
      <c r="H197" s="7"/>
      <c r="I197" s="7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9">
      <c r="A198" s="7"/>
      <c r="B198" s="2"/>
      <c r="C198" s="2"/>
      <c r="D198" s="2"/>
      <c r="E198" s="7"/>
      <c r="F198" s="7"/>
      <c r="G198" s="7"/>
      <c r="H198" s="7"/>
      <c r="I198" s="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9">
      <c r="A199" s="7"/>
      <c r="B199" s="2"/>
      <c r="C199" s="2"/>
      <c r="D199" s="2"/>
      <c r="E199" s="7"/>
      <c r="F199" s="7"/>
      <c r="G199" s="7"/>
      <c r="H199" s="7"/>
      <c r="I199" s="7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9">
      <c r="A200" s="7"/>
      <c r="B200" s="2"/>
      <c r="C200" s="2"/>
      <c r="D200" s="2"/>
      <c r="E200" s="7"/>
      <c r="F200" s="7"/>
      <c r="G200" s="7"/>
      <c r="H200" s="7"/>
      <c r="I200" s="7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</sheetData>
  <mergeCells count="3">
    <mergeCell ref="A1:P1"/>
    <mergeCell ref="Q1:S1"/>
    <mergeCell ref="T1:X1"/>
  </mergeCells>
  <conditionalFormatting sqref="A4:X164">
    <cfRule type="expression" dxfId="340" priority="58">
      <formula>$C4="QB"</formula>
    </cfRule>
    <cfRule type="expression" dxfId="339" priority="59">
      <formula>$C4="RB"</formula>
    </cfRule>
    <cfRule type="expression" dxfId="338" priority="60">
      <formula>$C4="WR"</formula>
    </cfRule>
    <cfRule type="expression" dxfId="337" priority="61">
      <formula>$C4="TE"</formula>
    </cfRule>
    <cfRule type="expression" dxfId="336" priority="62">
      <formula>$C4="K"</formula>
    </cfRule>
    <cfRule type="expression" dxfId="335" priority="63">
      <formula>$C4="DST"</formula>
    </cfRule>
  </conditionalFormatting>
  <conditionalFormatting sqref="C4:C164">
    <cfRule type="expression" dxfId="334" priority="52">
      <formula>C4="QB"</formula>
    </cfRule>
    <cfRule type="expression" dxfId="333" priority="53">
      <formula>C4="RB"</formula>
    </cfRule>
    <cfRule type="expression" dxfId="332" priority="54">
      <formula>C4="WR"</formula>
    </cfRule>
    <cfRule type="expression" dxfId="331" priority="55">
      <formula>C4="TE"</formula>
    </cfRule>
    <cfRule type="expression" dxfId="330" priority="56">
      <formula>C4="K"</formula>
    </cfRule>
    <cfRule type="expression" dxfId="329" priority="57">
      <formula>C4="DST"</formula>
    </cfRule>
  </conditionalFormatting>
  <conditionalFormatting sqref="I4:I163">
    <cfRule type="colorScale" priority="6">
      <colorScale>
        <cfvo type="min"/>
        <cfvo type="percentile" val="50"/>
        <cfvo type="max"/>
        <color rgb="FFFEE2E2"/>
        <color rgb="FFFEF3C7"/>
        <color rgb="FFDCFCE7"/>
      </colorScale>
    </cfRule>
  </conditionalFormatting>
  <conditionalFormatting sqref="I4:I200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conditionalFormatting sqref="J4:J163">
    <cfRule type="expression" dxfId="328" priority="21">
      <formula>J4="Yes"</formula>
    </cfRule>
    <cfRule type="expression" dxfId="327" priority="22">
      <formula>J4="No"</formula>
    </cfRule>
    <cfRule type="expression" dxfId="326" priority="38">
      <formula>J4="Yes"</formula>
    </cfRule>
    <cfRule type="expression" dxfId="325" priority="39">
      <formula>J4="No"</formula>
    </cfRule>
  </conditionalFormatting>
  <conditionalFormatting sqref="J4:J164">
    <cfRule type="expression" dxfId="324" priority="72">
      <formula>J4="Yes"</formula>
    </cfRule>
    <cfRule type="expression" dxfId="323" priority="73">
      <formula>J4="No"</formula>
    </cfRule>
  </conditionalFormatting>
  <conditionalFormatting sqref="J4:K200">
    <cfRule type="expression" dxfId="322" priority="5">
      <formula>OR(J4="Yes",K4="Yes")</formula>
    </cfRule>
  </conditionalFormatting>
  <conditionalFormatting sqref="K4:K163">
    <cfRule type="expression" dxfId="321" priority="23">
      <formula>K4="Yes"</formula>
    </cfRule>
    <cfRule type="expression" dxfId="320" priority="24">
      <formula>K4="No"</formula>
    </cfRule>
    <cfRule type="expression" dxfId="319" priority="40">
      <formula>K4="Yes"</formula>
    </cfRule>
    <cfRule type="expression" dxfId="318" priority="41">
      <formula>K4="No"</formula>
    </cfRule>
  </conditionalFormatting>
  <conditionalFormatting sqref="K4:K164">
    <cfRule type="expression" dxfId="317" priority="74">
      <formula>K4="Yes"</formula>
    </cfRule>
    <cfRule type="expression" dxfId="316" priority="75">
      <formula>K4="No"</formula>
    </cfRule>
  </conditionalFormatting>
  <conditionalFormatting sqref="L4:L163">
    <cfRule type="expression" dxfId="315" priority="27">
      <formula>L4="Noah"</formula>
    </cfRule>
    <cfRule type="expression" dxfId="314" priority="28">
      <formula>L4="Colby"</formula>
    </cfRule>
    <cfRule type="expression" dxfId="313" priority="29">
      <formula>L4="Adam"</formula>
    </cfRule>
    <cfRule type="expression" dxfId="312" priority="30">
      <formula>L4="Jacob"</formula>
    </cfRule>
    <cfRule type="expression" dxfId="311" priority="31">
      <formula>L4="Medhansh"</formula>
    </cfRule>
    <cfRule type="expression" dxfId="310" priority="32">
      <formula>L4="Luke"</formula>
    </cfRule>
    <cfRule type="expression" dxfId="309" priority="33">
      <formula>L4="Spohn"</formula>
    </cfRule>
    <cfRule type="expression" dxfId="308" priority="34">
      <formula>L4="Nolen"</formula>
    </cfRule>
    <cfRule type="expression" dxfId="307" priority="44">
      <formula>L4="Noah"</formula>
    </cfRule>
    <cfRule type="expression" dxfId="306" priority="45">
      <formula>L4="Colby"</formula>
    </cfRule>
    <cfRule type="expression" dxfId="305" priority="46">
      <formula>L4="Adam"</formula>
    </cfRule>
    <cfRule type="expression" dxfId="304" priority="47">
      <formula>L4="Jacob"</formula>
    </cfRule>
    <cfRule type="expression" dxfId="303" priority="48">
      <formula>L4="Medhansh"</formula>
    </cfRule>
    <cfRule type="expression" dxfId="302" priority="49">
      <formula>L4="Luke"</formula>
    </cfRule>
    <cfRule type="expression" dxfId="301" priority="50">
      <formula>L4="Spohn"</formula>
    </cfRule>
    <cfRule type="expression" dxfId="300" priority="51">
      <formula>L4="Nolen"</formula>
    </cfRule>
  </conditionalFormatting>
  <conditionalFormatting sqref="L4:L164">
    <cfRule type="expression" dxfId="299" priority="64">
      <formula>L4="Noah"</formula>
    </cfRule>
    <cfRule type="expression" dxfId="298" priority="65">
      <formula>L4="Colby"</formula>
    </cfRule>
    <cfRule type="expression" dxfId="297" priority="66">
      <formula>L4="Adam"</formula>
    </cfRule>
    <cfRule type="expression" dxfId="296" priority="67">
      <formula>L4="Jacob"</formula>
    </cfRule>
    <cfRule type="expression" dxfId="295" priority="68">
      <formula>L4="Medhansh"</formula>
    </cfRule>
    <cfRule type="expression" dxfId="294" priority="69">
      <formula>L4="Luke"</formula>
    </cfRule>
    <cfRule type="expression" dxfId="293" priority="70">
      <formula>L4="Spohn"</formula>
    </cfRule>
    <cfRule type="expression" dxfId="292" priority="71">
      <formula>L4="Nolen"</formula>
    </cfRule>
  </conditionalFormatting>
  <conditionalFormatting sqref="M4:M163">
    <cfRule type="expression" dxfId="291" priority="12">
      <formula>M4="Strong"</formula>
    </cfRule>
    <cfRule type="expression" dxfId="290" priority="13">
      <formula>M4="Value"</formula>
    </cfRule>
    <cfRule type="expression" dxfId="289" priority="14">
      <formula>M4="Late"</formula>
    </cfRule>
    <cfRule type="expression" dxfId="288" priority="15">
      <formula>M4="Avoid"</formula>
    </cfRule>
  </conditionalFormatting>
  <conditionalFormatting sqref="M4:M200">
    <cfRule type="expression" dxfId="287" priority="2">
      <formula>M4="Priority"</formula>
    </cfRule>
    <cfRule type="expression" dxfId="286" priority="3">
      <formula>M4="Strong"</formula>
    </cfRule>
    <cfRule type="expression" dxfId="285" priority="4">
      <formula>M4="Avoid"</formula>
    </cfRule>
  </conditionalFormatting>
  <conditionalFormatting sqref="P4:P163">
    <cfRule type="expression" dxfId="284" priority="19">
      <formula>P4="Yes"</formula>
    </cfRule>
    <cfRule type="expression" dxfId="283" priority="20">
      <formula>P4="No"</formula>
    </cfRule>
    <cfRule type="expression" dxfId="282" priority="42">
      <formula>P4="Yes"</formula>
    </cfRule>
    <cfRule type="expression" dxfId="281" priority="43">
      <formula>P4="No"</formula>
    </cfRule>
  </conditionalFormatting>
  <conditionalFormatting sqref="P4:P164">
    <cfRule type="expression" dxfId="280" priority="76">
      <formula>P4="Yes"</formula>
    </cfRule>
    <cfRule type="expression" dxfId="279" priority="77">
      <formula>P4="No"</formula>
    </cfRule>
  </conditionalFormatting>
  <conditionalFormatting sqref="R4:R163">
    <cfRule type="expression" dxfId="278" priority="35">
      <formula>OR($J4="Yes",$K4="Yes")</formula>
    </cfRule>
    <cfRule type="expression" dxfId="277" priority="36">
      <formula>AND($J4="No",$K4="No",$R4="Yes")</formula>
    </cfRule>
    <cfRule type="expression" dxfId="276" priority="37">
      <formula>AND($J4="No",$K4="No",$R4="No")</formula>
    </cfRule>
  </conditionalFormatting>
  <conditionalFormatting sqref="R4:R164">
    <cfRule type="expression" dxfId="275" priority="78">
      <formula>R4="Rookie"</formula>
    </cfRule>
    <cfRule type="expression" dxfId="274" priority="79">
      <formula>R4="Young"</formula>
    </cfRule>
    <cfRule type="expression" dxfId="273" priority="80">
      <formula>R4="Prime"</formula>
    </cfRule>
    <cfRule type="expression" dxfId="272" priority="81">
      <formula>R4="Veteran"</formula>
    </cfRule>
  </conditionalFormatting>
  <conditionalFormatting sqref="S4:S164">
    <cfRule type="expression" dxfId="271" priority="82">
      <formula>S4="High"</formula>
    </cfRule>
    <cfRule type="expression" dxfId="270" priority="83">
      <formula>S4="Medium"</formula>
    </cfRule>
    <cfRule type="expression" dxfId="269" priority="84">
      <formula>S4="Low"</formula>
    </cfRule>
  </conditionalFormatting>
  <conditionalFormatting sqref="W4:W163">
    <cfRule type="expression" dxfId="268" priority="17">
      <formula>W4="Higher than KTC"</formula>
    </cfRule>
    <cfRule type="expression" dxfId="267" priority="18">
      <formula>W4="Lower than KTC"</formula>
    </cfRule>
  </conditionalFormatting>
  <dataValidations count="4">
    <dataValidation type="list" sqref="P4:P163 J4:K200" xr:uid="{00000000-0002-0000-0100-000000000000}">
      <formula1>"Yes,No"</formula1>
    </dataValidation>
    <dataValidation type="list" sqref="M4:M200" xr:uid="{00000000-0002-0000-0100-000002000000}">
      <formula1>"Priority,Strong,Value,Late,Avoid"</formula1>
    </dataValidation>
    <dataValidation type="list" sqref="R4:R163" xr:uid="{00000000-0002-0000-0100-000006000000}">
      <formula1>"Rookie,Young,Prime,Veteran"</formula1>
    </dataValidation>
    <dataValidation type="list" sqref="S4:S163" xr:uid="{00000000-0002-0000-0100-000007000000}">
      <formula1>"High,Medium,Low"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tabSelected="1" workbookViewId="0">
      <selection activeCell="E10" sqref="E10"/>
    </sheetView>
  </sheetViews>
  <sheetFormatPr defaultRowHeight="13.5"/>
  <cols>
    <col min="1" max="2" width="8" customWidth="1"/>
    <col min="3" max="3" width="12" customWidth="1"/>
    <col min="4" max="4" width="15" customWidth="1"/>
    <col min="5" max="5" width="24" customWidth="1"/>
    <col min="6" max="6" width="8" customWidth="1"/>
    <col min="7" max="7" width="10" customWidth="1"/>
    <col min="8" max="8" width="11" customWidth="1"/>
    <col min="9" max="9" width="17" customWidth="1"/>
    <col min="10" max="10" width="30" customWidth="1"/>
    <col min="11" max="11" width="12" customWidth="1"/>
    <col min="12" max="12" width="28" customWidth="1"/>
    <col min="14" max="14" width="25" customWidth="1"/>
    <col min="15" max="17" width="18" customWidth="1"/>
    <col min="18" max="18" width="12" customWidth="1"/>
  </cols>
  <sheetData>
    <row r="1" spans="1:26" ht="14" customHeight="1">
      <c r="A1" s="104" t="s">
        <v>335</v>
      </c>
      <c r="B1" s="105"/>
      <c r="C1" s="105"/>
      <c r="D1" s="110"/>
      <c r="E1" s="105"/>
      <c r="F1" s="105"/>
      <c r="G1" s="105"/>
      <c r="H1" s="105"/>
      <c r="I1" s="105"/>
      <c r="J1" s="105"/>
      <c r="K1" s="105"/>
      <c r="L1" s="105"/>
      <c r="M1" s="2"/>
      <c r="N1" s="114" t="s">
        <v>336</v>
      </c>
      <c r="O1" s="114"/>
      <c r="P1" s="114"/>
      <c r="Q1" s="114"/>
      <c r="R1" s="2"/>
      <c r="S1" s="2"/>
      <c r="T1" s="2"/>
      <c r="U1" s="2"/>
      <c r="V1" s="2"/>
      <c r="W1" s="2"/>
      <c r="X1" s="2"/>
      <c r="Y1" s="2"/>
      <c r="Z1" s="2"/>
    </row>
    <row r="2" spans="1:26" ht="13.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3" t="s">
        <v>337</v>
      </c>
      <c r="B3" s="3" t="s">
        <v>338</v>
      </c>
      <c r="C3" s="3" t="s">
        <v>339</v>
      </c>
      <c r="D3" s="3" t="s">
        <v>95</v>
      </c>
      <c r="E3" s="3" t="s">
        <v>121</v>
      </c>
      <c r="F3" s="3" t="s">
        <v>122</v>
      </c>
      <c r="G3" s="3" t="s">
        <v>340</v>
      </c>
      <c r="H3" s="3" t="s">
        <v>341</v>
      </c>
      <c r="I3" s="3" t="s">
        <v>342</v>
      </c>
      <c r="J3" s="3" t="s">
        <v>133</v>
      </c>
      <c r="K3" s="3" t="s">
        <v>343</v>
      </c>
      <c r="L3" s="3"/>
      <c r="M3" s="35"/>
      <c r="N3" s="10" t="s">
        <v>344</v>
      </c>
      <c r="O3" s="10" t="s">
        <v>345</v>
      </c>
      <c r="P3" s="10" t="s">
        <v>346</v>
      </c>
      <c r="Q3" s="10" t="s">
        <v>347</v>
      </c>
      <c r="R3" s="93" t="s">
        <v>348</v>
      </c>
      <c r="S3" s="2"/>
      <c r="T3" s="2"/>
      <c r="U3" s="2"/>
      <c r="V3" s="2"/>
      <c r="W3" s="2"/>
      <c r="X3" s="2"/>
      <c r="Y3" s="2"/>
      <c r="Z3" s="2"/>
    </row>
    <row r="4" spans="1:26" ht="11" customHeight="1">
      <c r="A4" s="35">
        <v>1</v>
      </c>
      <c r="B4" s="35">
        <v>1</v>
      </c>
      <c r="C4" s="35">
        <v>1</v>
      </c>
      <c r="D4" s="35" t="s">
        <v>98</v>
      </c>
      <c r="E4" s="35"/>
      <c r="F4" s="35" t="str">
        <f>IFERROR(INDEX('Player Board'!$C$4:$C$163,MATCH(E4,'Player Board'!$B$4:$B$163,0)),"")</f>
        <v/>
      </c>
      <c r="G4" s="35" t="str">
        <f t="shared" ref="G4:G35" si="0">IF(D4="Noah","Yes","No")</f>
        <v>No</v>
      </c>
      <c r="H4" s="35" t="str">
        <f>IFERROR(INDEX('Player Board'!$H$4:$H$163,MATCH(E4,'Player Board'!$B$4:$B$163,0)),"")</f>
        <v/>
      </c>
      <c r="I4" s="34" t="str">
        <f>IF(E4="","",IFERROR(A4-INDEX('Player Board'!$Q$4:$Q$163,MATCH(E4,'Player Board'!$B$4:$B$163,0)),""))</f>
        <v/>
      </c>
      <c r="J4" s="35"/>
      <c r="K4" s="35" t="str">
        <f>IF(OR(D4&lt;&gt;"Noah",E4=""),"",F4&amp;"-"&amp;COUNTIFS($D$4:D4,"Noah",$F$4:F4,F4,$E$4:E4,"&lt;&gt;"))</f>
        <v/>
      </c>
      <c r="L4" s="35"/>
      <c r="M4" s="35"/>
      <c r="N4" s="35" t="s">
        <v>349</v>
      </c>
      <c r="O4" s="35" t="s">
        <v>3</v>
      </c>
      <c r="P4" s="35" t="s">
        <v>350</v>
      </c>
      <c r="Q4" s="35" t="s">
        <v>351</v>
      </c>
      <c r="R4" s="94">
        <f>IF(E4="",0,IFERROR(IF(INDEX('Player Board'!$H$4:$H$163,MATCH(E4,'Player Board'!$B$4:$B$163,0))&lt;=20,4.5,IF(INDEX('Player Board'!$H$4:$H$163,MATCH(E4,'Player Board'!$B$4:$B$163,0))&lt;=40,3.5,IF(INDEX('Player Board'!$H$4:$H$163,MATCH(E4,'Player Board'!$B$4:$B$163,0))&lt;=70,2.5,IF(INDEX('Player Board'!$H$4:$H$163,MATCH(E4,'Player Board'!$B$4:$B$163,0))&lt;=110,1.5,1)))),1))</f>
        <v>0</v>
      </c>
      <c r="S4" s="2"/>
      <c r="T4" s="2"/>
      <c r="U4" s="2"/>
      <c r="V4" s="2"/>
      <c r="W4" s="2"/>
      <c r="X4" s="2"/>
      <c r="Y4" s="2"/>
      <c r="Z4" s="2"/>
    </row>
    <row r="5" spans="1:26" ht="11" customHeight="1">
      <c r="A5" s="35">
        <v>2</v>
      </c>
      <c r="B5" s="35">
        <v>1</v>
      </c>
      <c r="C5" s="35">
        <v>2</v>
      </c>
      <c r="D5" s="35" t="s">
        <v>110</v>
      </c>
      <c r="E5" s="35"/>
      <c r="F5" s="35" t="str">
        <f>IFERROR(INDEX('Player Board'!$C$4:$C$163,MATCH(E5,'Player Board'!$B$4:$B$163,0)),"")</f>
        <v/>
      </c>
      <c r="G5" s="35" t="str">
        <f t="shared" si="0"/>
        <v>No</v>
      </c>
      <c r="H5" s="35" t="str">
        <f>IFERROR(INDEX('Player Board'!$H$4:$H$163,MATCH(E5,'Player Board'!$B$4:$B$163,0)),"")</f>
        <v/>
      </c>
      <c r="I5" s="34" t="str">
        <f>IF(E5="","",IFERROR(A5-INDEX('Player Board'!$Q$4:$Q$163,MATCH(E5,'Player Board'!$B$4:$B$163,0)),""))</f>
        <v/>
      </c>
      <c r="J5" s="35"/>
      <c r="K5" s="35" t="str">
        <f>IF(OR(D5&lt;&gt;"Noah",E5=""),"",F5&amp;"-"&amp;COUNTIFS($D$4:D5,"Noah",$F$4:F5,F5,$E$4:E5,"&lt;&gt;"))</f>
        <v/>
      </c>
      <c r="L5" s="35"/>
      <c r="M5" s="35"/>
      <c r="N5" s="35" t="s">
        <v>352</v>
      </c>
      <c r="O5" s="35" t="s">
        <v>107</v>
      </c>
      <c r="P5" s="35" t="s">
        <v>353</v>
      </c>
      <c r="Q5" s="35" t="s">
        <v>354</v>
      </c>
      <c r="R5" s="94">
        <f>IF(E5="",0,IFERROR(IF(INDEX('Player Board'!$H$4:$H$163,MATCH(E5,'Player Board'!$B$4:$B$163,0))&lt;=20,4.5,IF(INDEX('Player Board'!$H$4:$H$163,MATCH(E5,'Player Board'!$B$4:$B$163,0))&lt;=40,3.5,IF(INDEX('Player Board'!$H$4:$H$163,MATCH(E5,'Player Board'!$B$4:$B$163,0))&lt;=70,2.5,IF(INDEX('Player Board'!$H$4:$H$163,MATCH(E5,'Player Board'!$B$4:$B$163,0))&lt;=110,1.5,1)))),1))</f>
        <v>0</v>
      </c>
      <c r="S5" s="2"/>
      <c r="T5" s="2"/>
      <c r="U5" s="2"/>
      <c r="V5" s="2"/>
      <c r="W5" s="2"/>
      <c r="X5" s="2"/>
      <c r="Y5" s="2"/>
      <c r="Z5" s="2"/>
    </row>
    <row r="6" spans="1:26" ht="11" customHeight="1">
      <c r="A6" s="35">
        <v>3</v>
      </c>
      <c r="B6" s="35">
        <v>1</v>
      </c>
      <c r="C6" s="35">
        <v>3</v>
      </c>
      <c r="D6" s="35" t="s">
        <v>104</v>
      </c>
      <c r="E6" s="35"/>
      <c r="F6" s="35" t="str">
        <f>IFERROR(INDEX('Player Board'!$C$4:$C$163,MATCH(E6,'Player Board'!$B$4:$B$163,0)),"")</f>
        <v/>
      </c>
      <c r="G6" s="35" t="str">
        <f t="shared" si="0"/>
        <v>No</v>
      </c>
      <c r="H6" s="35" t="str">
        <f>IFERROR(INDEX('Player Board'!$H$4:$H$163,MATCH(E6,'Player Board'!$B$4:$B$163,0)),"")</f>
        <v/>
      </c>
      <c r="I6" s="34" t="str">
        <f>IF(E6="","",IFERROR(A6-INDEX('Player Board'!$Q$4:$Q$163,MATCH(E6,'Player Board'!$B$4:$B$163,0)),""))</f>
        <v/>
      </c>
      <c r="J6" s="35"/>
      <c r="K6" s="35" t="str">
        <f>IF(OR(D6&lt;&gt;"Noah",E6=""),"",F6&amp;"-"&amp;COUNTIFS($D$4:D6,"Noah",$F$4:F6,F6,$E$4:E6,"&lt;&gt;"))</f>
        <v/>
      </c>
      <c r="L6" s="35"/>
      <c r="M6" s="35"/>
      <c r="N6" s="35"/>
      <c r="O6" s="35"/>
      <c r="P6" s="35"/>
      <c r="Q6" s="35"/>
      <c r="R6" s="94">
        <f>IF(E6="",0,IFERROR(IF(INDEX('Player Board'!$H$4:$H$163,MATCH(E6,'Player Board'!$B$4:$B$163,0))&lt;=20,4.5,IF(INDEX('Player Board'!$H$4:$H$163,MATCH(E6,'Player Board'!$B$4:$B$163,0))&lt;=40,3.5,IF(INDEX('Player Board'!$H$4:$H$163,MATCH(E6,'Player Board'!$B$4:$B$163,0))&lt;=70,2.5,IF(INDEX('Player Board'!$H$4:$H$163,MATCH(E6,'Player Board'!$B$4:$B$163,0))&lt;=110,1.5,1)))),1))</f>
        <v>0</v>
      </c>
      <c r="S6" s="2"/>
      <c r="T6" s="2"/>
      <c r="U6" s="2"/>
      <c r="V6" s="2"/>
      <c r="W6" s="2"/>
      <c r="X6" s="2"/>
      <c r="Y6" s="2"/>
      <c r="Z6" s="2"/>
    </row>
    <row r="7" spans="1:26" ht="11" customHeight="1">
      <c r="A7" s="35">
        <v>4</v>
      </c>
      <c r="B7" s="35">
        <v>1</v>
      </c>
      <c r="C7" s="35">
        <v>4</v>
      </c>
      <c r="D7" s="35" t="s">
        <v>2</v>
      </c>
      <c r="E7" s="35"/>
      <c r="F7" s="35" t="str">
        <f>IFERROR(INDEX('Player Board'!$C$4:$C$163,MATCH(E7,'Player Board'!$B$4:$B$163,0)),"")</f>
        <v/>
      </c>
      <c r="G7" s="35" t="str">
        <f t="shared" si="0"/>
        <v>No</v>
      </c>
      <c r="H7" s="35" t="str">
        <f>IFERROR(INDEX('Player Board'!$H$4:$H$163,MATCH(E7,'Player Board'!$B$4:$B$163,0)),"")</f>
        <v/>
      </c>
      <c r="I7" s="34" t="str">
        <f>IF(E7="","",IFERROR(A7-INDEX('Player Board'!$Q$4:$Q$163,MATCH(E7,'Player Board'!$B$4:$B$163,0)),""))</f>
        <v/>
      </c>
      <c r="J7" s="35"/>
      <c r="K7" s="35" t="str">
        <f>IF(OR(D7&lt;&gt;"Noah",E7=""),"",F7&amp;"-"&amp;COUNTIFS($D$4:D7,"Noah",$F$4:F7,F7,$E$4:E7,"&lt;&gt;"))</f>
        <v/>
      </c>
      <c r="L7" s="35"/>
      <c r="M7" s="35"/>
      <c r="N7" s="27" t="s">
        <v>355</v>
      </c>
      <c r="O7" s="27"/>
      <c r="P7" s="27"/>
      <c r="Q7" s="27"/>
      <c r="R7" s="94">
        <f>IF(E7="",0,IFERROR(IF(INDEX('Player Board'!$H$4:$H$163,MATCH(E7,'Player Board'!$B$4:$B$163,0))&lt;=20,4.5,IF(INDEX('Player Board'!$H$4:$H$163,MATCH(E7,'Player Board'!$B$4:$B$163,0))&lt;=40,3.5,IF(INDEX('Player Board'!$H$4:$H$163,MATCH(E7,'Player Board'!$B$4:$B$163,0))&lt;=70,2.5,IF(INDEX('Player Board'!$H$4:$H$163,MATCH(E7,'Player Board'!$B$4:$B$163,0))&lt;=110,1.5,1)))),1))</f>
        <v>0</v>
      </c>
      <c r="S7" s="2"/>
      <c r="T7" s="2"/>
      <c r="U7" s="2"/>
      <c r="V7" s="2"/>
      <c r="W7" s="2"/>
      <c r="X7" s="2"/>
      <c r="Y7" s="2"/>
      <c r="Z7" s="2"/>
    </row>
    <row r="8" spans="1:26" ht="11" customHeight="1">
      <c r="A8" s="35">
        <v>5</v>
      </c>
      <c r="B8" s="35">
        <v>1</v>
      </c>
      <c r="C8" s="35">
        <v>5</v>
      </c>
      <c r="D8" s="35" t="s">
        <v>101</v>
      </c>
      <c r="E8" s="35"/>
      <c r="F8" s="35" t="str">
        <f>IFERROR(INDEX('Player Board'!$C$4:$C$163,MATCH(E8,'Player Board'!$B$4:$B$163,0)),"")</f>
        <v/>
      </c>
      <c r="G8" s="35" t="str">
        <f t="shared" si="0"/>
        <v>No</v>
      </c>
      <c r="H8" s="35" t="str">
        <f>IFERROR(INDEX('Player Board'!$H$4:$H$163,MATCH(E8,'Player Board'!$B$4:$B$163,0)),"")</f>
        <v/>
      </c>
      <c r="I8" s="34" t="str">
        <f>IF(E8="","",IFERROR(A8-INDEX('Player Board'!$Q$4:$Q$163,MATCH(E8,'Player Board'!$B$4:$B$163,0)),""))</f>
        <v/>
      </c>
      <c r="J8" s="35"/>
      <c r="K8" s="35" t="str">
        <f>IF(OR(D8&lt;&gt;"Noah",E8=""),"",F8&amp;"-"&amp;COUNTIFS($D$4:D8,"Noah",$F$4:F8,F8,$E$4:E8,"&lt;&gt;"))</f>
        <v/>
      </c>
      <c r="L8" s="35"/>
      <c r="M8" s="35"/>
      <c r="N8" s="49" t="s">
        <v>356</v>
      </c>
      <c r="O8" s="49"/>
      <c r="P8" s="49"/>
      <c r="Q8" s="49"/>
      <c r="R8" s="94">
        <f>IF(E8="",0,IFERROR(IF(INDEX('Player Board'!$H$4:$H$163,MATCH(E8,'Player Board'!$B$4:$B$163,0))&lt;=20,4.5,IF(INDEX('Player Board'!$H$4:$H$163,MATCH(E8,'Player Board'!$B$4:$B$163,0))&lt;=40,3.5,IF(INDEX('Player Board'!$H$4:$H$163,MATCH(E8,'Player Board'!$B$4:$B$163,0))&lt;=70,2.5,IF(INDEX('Player Board'!$H$4:$H$163,MATCH(E8,'Player Board'!$B$4:$B$163,0))&lt;=110,1.5,1)))),1))</f>
        <v>0</v>
      </c>
      <c r="S8" s="2"/>
      <c r="T8" s="2"/>
      <c r="U8" s="2"/>
      <c r="V8" s="2"/>
      <c r="W8" s="2"/>
      <c r="X8" s="2"/>
      <c r="Y8" s="2"/>
      <c r="Z8" s="2"/>
    </row>
    <row r="9" spans="1:26" ht="11" customHeight="1">
      <c r="A9" s="35">
        <v>6</v>
      </c>
      <c r="B9" s="35">
        <v>1</v>
      </c>
      <c r="C9" s="35">
        <v>6</v>
      </c>
      <c r="D9" s="35" t="s">
        <v>107</v>
      </c>
      <c r="E9" s="35"/>
      <c r="F9" s="35" t="str">
        <f>IFERROR(INDEX('Player Board'!$C$4:$C$163,MATCH(E9,'Player Board'!$B$4:$B$163,0)),"")</f>
        <v/>
      </c>
      <c r="G9" s="35" t="str">
        <f t="shared" si="0"/>
        <v>No</v>
      </c>
      <c r="H9" s="35" t="str">
        <f>IFERROR(INDEX('Player Board'!$H$4:$H$163,MATCH(E9,'Player Board'!$B$4:$B$163,0)),"")</f>
        <v/>
      </c>
      <c r="I9" s="34" t="str">
        <f>IF(E9="","",IFERROR(A9-INDEX('Player Board'!$Q$4:$Q$163,MATCH(E9,'Player Board'!$B$4:$B$163,0)),""))</f>
        <v/>
      </c>
      <c r="J9" s="35"/>
      <c r="K9" s="35" t="str">
        <f>IF(OR(D9&lt;&gt;"Noah",E9=""),"",F9&amp;"-"&amp;COUNTIFS($D$4:D9,"Noah",$F$4:F9,F9,$E$4:E9,"&lt;&gt;"))</f>
        <v/>
      </c>
      <c r="L9" s="35"/>
      <c r="M9" s="35"/>
      <c r="N9" s="49"/>
      <c r="O9" s="49"/>
      <c r="P9" s="49"/>
      <c r="Q9" s="49"/>
      <c r="R9" s="94">
        <f>IF(E9="",0,IFERROR(IF(INDEX('Player Board'!$H$4:$H$163,MATCH(E9,'Player Board'!$B$4:$B$163,0))&lt;=20,4.5,IF(INDEX('Player Board'!$H$4:$H$163,MATCH(E9,'Player Board'!$B$4:$B$163,0))&lt;=40,3.5,IF(INDEX('Player Board'!$H$4:$H$163,MATCH(E9,'Player Board'!$B$4:$B$163,0))&lt;=70,2.5,IF(INDEX('Player Board'!$H$4:$H$163,MATCH(E9,'Player Board'!$B$4:$B$163,0))&lt;=110,1.5,1)))),1))</f>
        <v>0</v>
      </c>
      <c r="S9" s="2"/>
      <c r="T9" s="2"/>
      <c r="U9" s="2"/>
      <c r="V9" s="2"/>
      <c r="W9" s="2"/>
      <c r="X9" s="2"/>
      <c r="Y9" s="2"/>
      <c r="Z9" s="2"/>
    </row>
    <row r="10" spans="1:26" ht="11" customHeight="1">
      <c r="A10" s="35">
        <v>7</v>
      </c>
      <c r="B10" s="35">
        <v>1</v>
      </c>
      <c r="C10" s="35">
        <v>7</v>
      </c>
      <c r="D10" s="35" t="s">
        <v>110</v>
      </c>
      <c r="E10" s="35"/>
      <c r="F10" s="35" t="str">
        <f>IFERROR(INDEX('Player Board'!$C$4:$C$163,MATCH(E10,'Player Board'!$B$4:$B$163,0)),"")</f>
        <v/>
      </c>
      <c r="G10" s="35" t="str">
        <f t="shared" si="0"/>
        <v>No</v>
      </c>
      <c r="H10" s="35" t="str">
        <f>IFERROR(INDEX('Player Board'!$H$4:$H$163,MATCH(E10,'Player Board'!$B$4:$B$163,0)),"")</f>
        <v/>
      </c>
      <c r="I10" s="34" t="str">
        <f>IF(E10="","",IFERROR(A10-INDEX('Player Board'!$Q$4:$Q$163,MATCH(E10,'Player Board'!$B$4:$B$163,0)),""))</f>
        <v/>
      </c>
      <c r="J10" s="35"/>
      <c r="K10" s="35" t="str">
        <f>IF(OR(D10&lt;&gt;"Noah",E10=""),"",F10&amp;"-"&amp;COUNTIFS($D$4:D10,"Noah",$F$4:F10,F10,$E$4:E10,"&lt;&gt;"))</f>
        <v/>
      </c>
      <c r="L10" s="35"/>
      <c r="M10" s="35"/>
      <c r="N10" s="49"/>
      <c r="O10" s="49"/>
      <c r="P10" s="49"/>
      <c r="Q10" s="49"/>
      <c r="R10" s="94">
        <f>IF(E10="",0,IFERROR(IF(INDEX('Player Board'!$H$4:$H$163,MATCH(E10,'Player Board'!$B$4:$B$163,0))&lt;=20,4.5,IF(INDEX('Player Board'!$H$4:$H$163,MATCH(E10,'Player Board'!$B$4:$B$163,0))&lt;=40,3.5,IF(INDEX('Player Board'!$H$4:$H$163,MATCH(E10,'Player Board'!$B$4:$B$163,0))&lt;=70,2.5,IF(INDEX('Player Board'!$H$4:$H$163,MATCH(E10,'Player Board'!$B$4:$B$163,0))&lt;=110,1.5,1)))),1))</f>
        <v>0</v>
      </c>
      <c r="S10" s="2"/>
      <c r="T10" s="2"/>
      <c r="U10" s="2"/>
      <c r="V10" s="2"/>
      <c r="W10" s="2"/>
      <c r="X10" s="2"/>
      <c r="Y10" s="2"/>
      <c r="Z10" s="2"/>
    </row>
    <row r="11" spans="1:26" ht="11" customHeight="1">
      <c r="A11" s="35">
        <v>8</v>
      </c>
      <c r="B11" s="35">
        <v>1</v>
      </c>
      <c r="C11" s="35">
        <v>8</v>
      </c>
      <c r="D11" s="35" t="s">
        <v>104</v>
      </c>
      <c r="E11" s="35"/>
      <c r="F11" s="35" t="str">
        <f>IFERROR(INDEX('Player Board'!$C$4:$C$163,MATCH(E11,'Player Board'!$B$4:$B$163,0)),"")</f>
        <v/>
      </c>
      <c r="G11" s="35" t="str">
        <f t="shared" si="0"/>
        <v>No</v>
      </c>
      <c r="H11" s="35" t="str">
        <f>IFERROR(INDEX('Player Board'!$H$4:$H$163,MATCH(E11,'Player Board'!$B$4:$B$163,0)),"")</f>
        <v/>
      </c>
      <c r="I11" s="34" t="str">
        <f>IF(E11="","",IFERROR(A11-INDEX('Player Board'!$Q$4:$Q$163,MATCH(E11,'Player Board'!$B$4:$B$163,0)),""))</f>
        <v/>
      </c>
      <c r="J11" s="35"/>
      <c r="K11" s="35" t="str">
        <f>IF(OR(D11&lt;&gt;"Noah",E11=""),"",F11&amp;"-"&amp;COUNTIFS($D$4:D11,"Noah",$F$4:F11,F11,$E$4:E11,"&lt;&gt;"))</f>
        <v/>
      </c>
      <c r="L11" s="35"/>
      <c r="M11" s="35"/>
      <c r="N11" s="50" t="s">
        <v>357</v>
      </c>
      <c r="O11" s="50"/>
      <c r="P11" s="50"/>
      <c r="Q11" s="50"/>
      <c r="R11" s="94">
        <f>IF(E11="",0,IFERROR(IF(INDEX('Player Board'!$H$4:$H$163,MATCH(E11,'Player Board'!$B$4:$B$163,0))&lt;=20,4.5,IF(INDEX('Player Board'!$H$4:$H$163,MATCH(E11,'Player Board'!$B$4:$B$163,0))&lt;=40,3.5,IF(INDEX('Player Board'!$H$4:$H$163,MATCH(E11,'Player Board'!$B$4:$B$163,0))&lt;=70,2.5,IF(INDEX('Player Board'!$H$4:$H$163,MATCH(E11,'Player Board'!$B$4:$B$163,0))&lt;=110,1.5,1)))),1))</f>
        <v>0</v>
      </c>
      <c r="S11" s="2"/>
      <c r="T11" s="2"/>
      <c r="U11" s="2"/>
      <c r="V11" s="2"/>
      <c r="W11" s="2"/>
      <c r="X11" s="2"/>
      <c r="Y11" s="2"/>
      <c r="Z11" s="2"/>
    </row>
    <row r="12" spans="1:26" ht="11" customHeight="1">
      <c r="A12" s="35">
        <v>9</v>
      </c>
      <c r="B12" s="35">
        <v>2</v>
      </c>
      <c r="C12" s="35">
        <v>1</v>
      </c>
      <c r="D12" s="35" t="s">
        <v>98</v>
      </c>
      <c r="E12" s="35"/>
      <c r="F12" s="35" t="str">
        <f>IFERROR(INDEX('Player Board'!$C$4:$C$163,MATCH(E12,'Player Board'!$B$4:$B$163,0)),"")</f>
        <v/>
      </c>
      <c r="G12" s="35" t="str">
        <f t="shared" si="0"/>
        <v>No</v>
      </c>
      <c r="H12" s="35" t="str">
        <f>IFERROR(INDEX('Player Board'!$H$4:$H$163,MATCH(E12,'Player Board'!$B$4:$B$163,0)),"")</f>
        <v/>
      </c>
      <c r="I12" s="34" t="str">
        <f>IF(E12="","",IFERROR(A12-INDEX('Player Board'!$Q$4:$Q$163,MATCH(E12,'Player Board'!$B$4:$B$163,0)),""))</f>
        <v/>
      </c>
      <c r="J12" s="35"/>
      <c r="K12" s="35" t="str">
        <f>IF(OR(D12&lt;&gt;"Noah",E12=""),"",F12&amp;"-"&amp;COUNTIFS($D$4:D12,"Noah",$F$4:F12,F12,$E$4:E12,"&lt;&gt;"))</f>
        <v/>
      </c>
      <c r="L12" s="35"/>
      <c r="M12" s="35"/>
      <c r="N12" s="50"/>
      <c r="O12" s="50"/>
      <c r="P12" s="50"/>
      <c r="Q12" s="50"/>
      <c r="R12" s="94">
        <f>IF(E12="",0,IFERROR(IF(INDEX('Player Board'!$H$4:$H$163,MATCH(E12,'Player Board'!$B$4:$B$163,0))&lt;=20,4.5,IF(INDEX('Player Board'!$H$4:$H$163,MATCH(E12,'Player Board'!$B$4:$B$163,0))&lt;=40,3.5,IF(INDEX('Player Board'!$H$4:$H$163,MATCH(E12,'Player Board'!$B$4:$B$163,0))&lt;=70,2.5,IF(INDEX('Player Board'!$H$4:$H$163,MATCH(E12,'Player Board'!$B$4:$B$163,0))&lt;=110,1.5,1)))),1))</f>
        <v>0</v>
      </c>
      <c r="S12" s="2"/>
      <c r="T12" s="2"/>
      <c r="U12" s="2"/>
      <c r="V12" s="2"/>
      <c r="W12" s="2"/>
      <c r="X12" s="2"/>
      <c r="Y12" s="2"/>
      <c r="Z12" s="2"/>
    </row>
    <row r="13" spans="1:26" ht="11" customHeight="1">
      <c r="A13" s="35">
        <v>10</v>
      </c>
      <c r="B13" s="35">
        <v>2</v>
      </c>
      <c r="C13" s="35">
        <v>2</v>
      </c>
      <c r="D13" s="35" t="s">
        <v>101</v>
      </c>
      <c r="E13" s="35"/>
      <c r="F13" s="35" t="str">
        <f>IFERROR(INDEX('Player Board'!$C$4:$C$163,MATCH(E13,'Player Board'!$B$4:$B$163,0)),"")</f>
        <v/>
      </c>
      <c r="G13" s="35" t="str">
        <f t="shared" si="0"/>
        <v>No</v>
      </c>
      <c r="H13" s="35" t="str">
        <f>IFERROR(INDEX('Player Board'!$H$4:$H$163,MATCH(E13,'Player Board'!$B$4:$B$163,0)),"")</f>
        <v/>
      </c>
      <c r="I13" s="34" t="str">
        <f>IF(E13="","",IFERROR(A13-INDEX('Player Board'!$Q$4:$Q$163,MATCH(E13,'Player Board'!$B$4:$B$163,0)),""))</f>
        <v/>
      </c>
      <c r="J13" s="35"/>
      <c r="K13" s="35" t="str">
        <f>IF(OR(D13&lt;&gt;"Noah",E13=""),"",F13&amp;"-"&amp;COUNTIFS($D$4:D13,"Noah",$F$4:F13,F13,$E$4:E13,"&lt;&gt;"))</f>
        <v/>
      </c>
      <c r="L13" s="35"/>
      <c r="M13" s="35"/>
      <c r="N13" s="50"/>
      <c r="O13" s="50"/>
      <c r="P13" s="50"/>
      <c r="Q13" s="50"/>
      <c r="R13" s="94">
        <f>IF(E13="",0,IFERROR(IF(INDEX('Player Board'!$H$4:$H$163,MATCH(E13,'Player Board'!$B$4:$B$163,0))&lt;=20,4.5,IF(INDEX('Player Board'!$H$4:$H$163,MATCH(E13,'Player Board'!$B$4:$B$163,0))&lt;=40,3.5,IF(INDEX('Player Board'!$H$4:$H$163,MATCH(E13,'Player Board'!$B$4:$B$163,0))&lt;=70,2.5,IF(INDEX('Player Board'!$H$4:$H$163,MATCH(E13,'Player Board'!$B$4:$B$163,0))&lt;=110,1.5,1)))),1))</f>
        <v>0</v>
      </c>
      <c r="S13" s="2"/>
      <c r="T13" s="2"/>
      <c r="U13" s="2"/>
      <c r="V13" s="2"/>
      <c r="W13" s="2"/>
      <c r="X13" s="2"/>
      <c r="Y13" s="2"/>
      <c r="Z13" s="2"/>
    </row>
    <row r="14" spans="1:26" ht="11" customHeight="1">
      <c r="A14" s="35">
        <v>11</v>
      </c>
      <c r="B14" s="35">
        <v>2</v>
      </c>
      <c r="C14" s="35">
        <v>3</v>
      </c>
      <c r="D14" s="35" t="s">
        <v>104</v>
      </c>
      <c r="E14" s="35"/>
      <c r="F14" s="35" t="str">
        <f>IFERROR(INDEX('Player Board'!$C$4:$C$163,MATCH(E14,'Player Board'!$B$4:$B$163,0)),"")</f>
        <v/>
      </c>
      <c r="G14" s="35" t="str">
        <f t="shared" si="0"/>
        <v>No</v>
      </c>
      <c r="H14" s="35" t="str">
        <f>IFERROR(INDEX('Player Board'!$H$4:$H$163,MATCH(E14,'Player Board'!$B$4:$B$163,0)),"")</f>
        <v/>
      </c>
      <c r="I14" s="34" t="str">
        <f>IF(E14="","",IFERROR(A14-INDEX('Player Board'!$Q$4:$Q$163,MATCH(E14,'Player Board'!$B$4:$B$163,0)),""))</f>
        <v/>
      </c>
      <c r="J14" s="35"/>
      <c r="K14" s="35" t="str">
        <f>IF(OR(D14&lt;&gt;"Noah",E14=""),"",F14&amp;"-"&amp;COUNTIFS($D$4:D14,"Noah",$F$4:F14,F14,$E$4:E14,"&lt;&gt;"))</f>
        <v/>
      </c>
      <c r="L14" s="35"/>
      <c r="M14" s="35"/>
      <c r="N14" s="50"/>
      <c r="O14" s="50"/>
      <c r="P14" s="50"/>
      <c r="Q14" s="50"/>
      <c r="R14" s="94">
        <f>IF(E14="",0,IFERROR(IF(INDEX('Player Board'!$H$4:$H$163,MATCH(E14,'Player Board'!$B$4:$B$163,0))&lt;=20,4.5,IF(INDEX('Player Board'!$H$4:$H$163,MATCH(E14,'Player Board'!$B$4:$B$163,0))&lt;=40,3.5,IF(INDEX('Player Board'!$H$4:$H$163,MATCH(E14,'Player Board'!$B$4:$B$163,0))&lt;=70,2.5,IF(INDEX('Player Board'!$H$4:$H$163,MATCH(E14,'Player Board'!$B$4:$B$163,0))&lt;=110,1.5,1)))),1))</f>
        <v>0</v>
      </c>
      <c r="S14" s="2"/>
      <c r="T14" s="2"/>
      <c r="U14" s="2"/>
      <c r="V14" s="2"/>
      <c r="W14" s="2"/>
      <c r="X14" s="2"/>
      <c r="Y14" s="2"/>
      <c r="Z14" s="2"/>
    </row>
    <row r="15" spans="1:26" ht="11" customHeight="1">
      <c r="A15" s="35">
        <v>12</v>
      </c>
      <c r="B15" s="35">
        <v>2</v>
      </c>
      <c r="C15" s="35">
        <v>4</v>
      </c>
      <c r="D15" s="35" t="s">
        <v>2</v>
      </c>
      <c r="E15" s="35"/>
      <c r="F15" s="35" t="str">
        <f>IFERROR(INDEX('Player Board'!$C$4:$C$163,MATCH(E15,'Player Board'!$B$4:$B$163,0)),"")</f>
        <v/>
      </c>
      <c r="G15" s="35" t="str">
        <f t="shared" si="0"/>
        <v>No</v>
      </c>
      <c r="H15" s="35" t="str">
        <f>IFERROR(INDEX('Player Board'!$H$4:$H$163,MATCH(E15,'Player Board'!$B$4:$B$163,0)),"")</f>
        <v/>
      </c>
      <c r="I15" s="34" t="str">
        <f>IF(E15="","",IFERROR(A15-INDEX('Player Board'!$Q$4:$Q$163,MATCH(E15,'Player Board'!$B$4:$B$163,0)),""))</f>
        <v/>
      </c>
      <c r="J15" s="35"/>
      <c r="K15" s="35" t="str">
        <f>IF(OR(D15&lt;&gt;"Noah",E15=""),"",F15&amp;"-"&amp;COUNTIFS($D$4:D15,"Noah",$F$4:F15,F15,$E$4:E15,"&lt;&gt;"))</f>
        <v/>
      </c>
      <c r="L15" s="35"/>
      <c r="M15" s="35"/>
      <c r="N15" s="35"/>
      <c r="O15" s="35"/>
      <c r="P15" s="35"/>
      <c r="Q15" s="35"/>
      <c r="R15" s="94">
        <f>IF(E15="",0,IFERROR(IF(INDEX('Player Board'!$H$4:$H$163,MATCH(E15,'Player Board'!$B$4:$B$163,0))&lt;=20,4.5,IF(INDEX('Player Board'!$H$4:$H$163,MATCH(E15,'Player Board'!$B$4:$B$163,0))&lt;=40,3.5,IF(INDEX('Player Board'!$H$4:$H$163,MATCH(E15,'Player Board'!$B$4:$B$163,0))&lt;=70,2.5,IF(INDEX('Player Board'!$H$4:$H$163,MATCH(E15,'Player Board'!$B$4:$B$163,0))&lt;=110,1.5,1)))),1))</f>
        <v>0</v>
      </c>
      <c r="S15" s="2"/>
      <c r="T15" s="2"/>
      <c r="U15" s="2"/>
      <c r="V15" s="2"/>
      <c r="W15" s="2"/>
      <c r="X15" s="2"/>
      <c r="Y15" s="2"/>
      <c r="Z15" s="2"/>
    </row>
    <row r="16" spans="1:26" ht="11" customHeight="1">
      <c r="A16" s="35">
        <v>13</v>
      </c>
      <c r="B16" s="35">
        <v>2</v>
      </c>
      <c r="C16" s="35">
        <v>5</v>
      </c>
      <c r="D16" s="35" t="s">
        <v>1</v>
      </c>
      <c r="E16" s="35"/>
      <c r="F16" s="35" t="str">
        <f>IFERROR(INDEX('Player Board'!$C$4:$C$163,MATCH(E16,'Player Board'!$B$4:$B$163,0)),"")</f>
        <v/>
      </c>
      <c r="G16" s="35" t="str">
        <f t="shared" si="0"/>
        <v>Yes</v>
      </c>
      <c r="H16" s="35" t="str">
        <f>IFERROR(INDEX('Player Board'!$H$4:$H$163,MATCH(E16,'Player Board'!$B$4:$B$163,0)),"")</f>
        <v/>
      </c>
      <c r="I16" s="34" t="str">
        <f>IF(E16="","",IFERROR(A16-INDEX('Player Board'!$Q$4:$Q$163,MATCH(E16,'Player Board'!$B$4:$B$163,0)),""))</f>
        <v/>
      </c>
      <c r="J16" s="35"/>
      <c r="K16" s="35" t="str">
        <f>IF(OR(D16&lt;&gt;"Noah",E16=""),"",F16&amp;"-"&amp;COUNTIFS($D$4:D16,"Noah",$F$4:F16,F16,$E$4:E16,"&lt;&gt;"))</f>
        <v/>
      </c>
      <c r="L16" s="35"/>
      <c r="M16" s="35"/>
      <c r="N16" s="42" t="s">
        <v>358</v>
      </c>
      <c r="O16" s="42"/>
      <c r="P16" s="42"/>
      <c r="Q16" s="42"/>
      <c r="R16" s="94">
        <f>IF(E16="",0,IFERROR(IF(INDEX('Player Board'!$H$4:$H$163,MATCH(E16,'Player Board'!$B$4:$B$163,0))&lt;=20,4.5,IF(INDEX('Player Board'!$H$4:$H$163,MATCH(E16,'Player Board'!$B$4:$B$163,0))&lt;=40,3.5,IF(INDEX('Player Board'!$H$4:$H$163,MATCH(E16,'Player Board'!$B$4:$B$163,0))&lt;=70,2.5,IF(INDEX('Player Board'!$H$4:$H$163,MATCH(E16,'Player Board'!$B$4:$B$163,0))&lt;=110,1.5,1)))),1))</f>
        <v>0</v>
      </c>
      <c r="S16" s="2"/>
      <c r="T16" s="2"/>
      <c r="U16" s="2"/>
      <c r="V16" s="2"/>
      <c r="W16" s="2"/>
      <c r="X16" s="2"/>
      <c r="Y16" s="2"/>
      <c r="Z16" s="2"/>
    </row>
    <row r="17" spans="1:26" ht="11" customHeight="1">
      <c r="A17" s="35">
        <v>14</v>
      </c>
      <c r="B17" s="35">
        <v>2</v>
      </c>
      <c r="C17" s="35">
        <v>6</v>
      </c>
      <c r="D17" s="35" t="s">
        <v>3</v>
      </c>
      <c r="E17" s="35"/>
      <c r="F17" s="35" t="str">
        <f>IFERROR(INDEX('Player Board'!$C$4:$C$163,MATCH(E17,'Player Board'!$B$4:$B$163,0)),"")</f>
        <v/>
      </c>
      <c r="G17" s="35" t="str">
        <f t="shared" si="0"/>
        <v>No</v>
      </c>
      <c r="H17" s="35" t="str">
        <f>IFERROR(INDEX('Player Board'!$H$4:$H$163,MATCH(E17,'Player Board'!$B$4:$B$163,0)),"")</f>
        <v/>
      </c>
      <c r="I17" s="34" t="str">
        <f>IF(E17="","",IFERROR(A17-INDEX('Player Board'!$Q$4:$Q$163,MATCH(E17,'Player Board'!$B$4:$B$163,0)),""))</f>
        <v/>
      </c>
      <c r="J17" s="35"/>
      <c r="K17" s="35" t="str">
        <f>IF(OR(D17&lt;&gt;"Noah",E17=""),"",F17&amp;"-"&amp;COUNTIFS($D$4:D17,"Noah",$F$4:F17,F17,$E$4:E17,"&lt;&gt;"))</f>
        <v/>
      </c>
      <c r="L17" s="35"/>
      <c r="M17" s="35"/>
      <c r="N17" s="35"/>
      <c r="O17" s="35"/>
      <c r="P17" s="35"/>
      <c r="Q17" s="35"/>
      <c r="R17" s="94">
        <f>IF(E17="",0,IFERROR(IF(INDEX('Player Board'!$H$4:$H$163,MATCH(E17,'Player Board'!$B$4:$B$163,0))&lt;=20,4.5,IF(INDEX('Player Board'!$H$4:$H$163,MATCH(E17,'Player Board'!$B$4:$B$163,0))&lt;=40,3.5,IF(INDEX('Player Board'!$H$4:$H$163,MATCH(E17,'Player Board'!$B$4:$B$163,0))&lt;=70,2.5,IF(INDEX('Player Board'!$H$4:$H$163,MATCH(E17,'Player Board'!$B$4:$B$163,0))&lt;=110,1.5,1)))),1))</f>
        <v>0</v>
      </c>
      <c r="S17" s="2"/>
      <c r="T17" s="2"/>
      <c r="U17" s="2"/>
      <c r="V17" s="2"/>
      <c r="W17" s="2"/>
      <c r="X17" s="2"/>
      <c r="Y17" s="2"/>
      <c r="Z17" s="2"/>
    </row>
    <row r="18" spans="1:26" ht="11" customHeight="1">
      <c r="A18" s="35">
        <v>15</v>
      </c>
      <c r="B18" s="35">
        <v>2</v>
      </c>
      <c r="C18" s="35">
        <v>7</v>
      </c>
      <c r="D18" s="35" t="s">
        <v>107</v>
      </c>
      <c r="E18" s="35"/>
      <c r="F18" s="35" t="str">
        <f>IFERROR(INDEX('Player Board'!$C$4:$C$163,MATCH(E18,'Player Board'!$B$4:$B$163,0)),"")</f>
        <v/>
      </c>
      <c r="G18" s="35" t="str">
        <f t="shared" si="0"/>
        <v>No</v>
      </c>
      <c r="H18" s="35" t="str">
        <f>IFERROR(INDEX('Player Board'!$H$4:$H$163,MATCH(E18,'Player Board'!$B$4:$B$163,0)),"")</f>
        <v/>
      </c>
      <c r="I18" s="34" t="str">
        <f>IF(E18="","",IFERROR(A18-INDEX('Player Board'!$Q$4:$Q$163,MATCH(E18,'Player Board'!$B$4:$B$163,0)),""))</f>
        <v/>
      </c>
      <c r="J18" s="35"/>
      <c r="K18" s="35" t="str">
        <f>IF(OR(D18&lt;&gt;"Noah",E18=""),"",F18&amp;"-"&amp;COUNTIFS($D$4:D18,"Noah",$F$4:F18,F18,$E$4:E18,"&lt;&gt;"))</f>
        <v/>
      </c>
      <c r="L18" s="35"/>
      <c r="M18" s="35"/>
      <c r="N18" s="45" t="s">
        <v>359</v>
      </c>
      <c r="O18" s="45" t="s">
        <v>20</v>
      </c>
      <c r="P18" s="35"/>
      <c r="Q18" s="35"/>
      <c r="R18" s="94">
        <f>IF(E18="",0,IFERROR(IF(INDEX('Player Board'!$H$4:$H$163,MATCH(E18,'Player Board'!$B$4:$B$163,0))&lt;=20,4.5,IF(INDEX('Player Board'!$H$4:$H$163,MATCH(E18,'Player Board'!$B$4:$B$163,0))&lt;=40,3.5,IF(INDEX('Player Board'!$H$4:$H$163,MATCH(E18,'Player Board'!$B$4:$B$163,0))&lt;=70,2.5,IF(INDEX('Player Board'!$H$4:$H$163,MATCH(E18,'Player Board'!$B$4:$B$163,0))&lt;=110,1.5,1)))),1))</f>
        <v>0</v>
      </c>
      <c r="S18" s="2"/>
      <c r="T18" s="2"/>
      <c r="U18" s="2"/>
      <c r="V18" s="2"/>
      <c r="W18" s="2"/>
      <c r="X18" s="2"/>
      <c r="Y18" s="2"/>
      <c r="Z18" s="2"/>
    </row>
    <row r="19" spans="1:26" ht="11" customHeight="1">
      <c r="A19" s="35">
        <v>16</v>
      </c>
      <c r="B19" s="35">
        <v>2</v>
      </c>
      <c r="C19" s="35">
        <v>8</v>
      </c>
      <c r="D19" s="35" t="s">
        <v>110</v>
      </c>
      <c r="E19" s="35"/>
      <c r="F19" s="35" t="str">
        <f>IFERROR(INDEX('Player Board'!$C$4:$C$163,MATCH(E19,'Player Board'!$B$4:$B$163,0)),"")</f>
        <v/>
      </c>
      <c r="G19" s="35" t="str">
        <f t="shared" si="0"/>
        <v>No</v>
      </c>
      <c r="H19" s="35" t="str">
        <f>IFERROR(INDEX('Player Board'!$H$4:$H$163,MATCH(E19,'Player Board'!$B$4:$B$163,0)),"")</f>
        <v/>
      </c>
      <c r="I19" s="34" t="str">
        <f>IF(E19="","",IFERROR(A19-INDEX('Player Board'!$Q$4:$Q$163,MATCH(E19,'Player Board'!$B$4:$B$163,0)),""))</f>
        <v/>
      </c>
      <c r="J19" s="35"/>
      <c r="K19" s="35" t="str">
        <f>IF(OR(D19&lt;&gt;"Noah",E19=""),"",F19&amp;"-"&amp;COUNTIFS($D$4:D19,"Noah",$F$4:F19,F19,$E$4:E19,"&lt;&gt;"))</f>
        <v/>
      </c>
      <c r="L19" s="35"/>
      <c r="M19" s="35"/>
      <c r="N19" s="35" t="s">
        <v>360</v>
      </c>
      <c r="O19" s="35" t="str">
        <f>IFERROR(INDEX($A$4:$A$147,MATCH(1,($D$4:$D$147="Noah")*($E$4:$E$147=""),0)),"Draft complete")</f>
        <v>Draft complete</v>
      </c>
      <c r="P19" s="35"/>
      <c r="Q19" s="35"/>
      <c r="R19" s="94">
        <f>IF(E19="",0,IFERROR(IF(INDEX('Player Board'!$H$4:$H$163,MATCH(E19,'Player Board'!$B$4:$B$163,0))&lt;=20,4.5,IF(INDEX('Player Board'!$H$4:$H$163,MATCH(E19,'Player Board'!$B$4:$B$163,0))&lt;=40,3.5,IF(INDEX('Player Board'!$H$4:$H$163,MATCH(E19,'Player Board'!$B$4:$B$163,0))&lt;=70,2.5,IF(INDEX('Player Board'!$H$4:$H$163,MATCH(E19,'Player Board'!$B$4:$B$163,0))&lt;=110,1.5,1)))),1))</f>
        <v>0</v>
      </c>
      <c r="S19" s="2"/>
      <c r="T19" s="2"/>
      <c r="U19" s="2"/>
      <c r="V19" s="2"/>
      <c r="W19" s="2"/>
      <c r="X19" s="2"/>
      <c r="Y19" s="2"/>
      <c r="Z19" s="2"/>
    </row>
    <row r="20" spans="1:26" ht="11" customHeight="1">
      <c r="A20" s="35">
        <v>17</v>
      </c>
      <c r="B20" s="35">
        <v>3</v>
      </c>
      <c r="C20" s="35">
        <v>1</v>
      </c>
      <c r="D20" s="35" t="s">
        <v>98</v>
      </c>
      <c r="E20" s="35"/>
      <c r="F20" s="35" t="str">
        <f>IFERROR(INDEX('Player Board'!$C$4:$C$163,MATCH(E20,'Player Board'!$B$4:$B$163,0)),"")</f>
        <v/>
      </c>
      <c r="G20" s="35" t="str">
        <f t="shared" si="0"/>
        <v>No</v>
      </c>
      <c r="H20" s="35" t="str">
        <f>IFERROR(INDEX('Player Board'!$H$4:$H$163,MATCH(E20,'Player Board'!$B$4:$B$163,0)),"")</f>
        <v/>
      </c>
      <c r="I20" s="34" t="str">
        <f>IF(E20="","",IFERROR(A20-INDEX('Player Board'!$Q$4:$Q$163,MATCH(E20,'Player Board'!$B$4:$B$163,0)),""))</f>
        <v/>
      </c>
      <c r="J20" s="35"/>
      <c r="K20" s="35" t="str">
        <f>IF(OR(D20&lt;&gt;"Noah",E20=""),"",F20&amp;"-"&amp;COUNTIFS($D$4:D20,"Noah",$F$4:F20,F20,$E$4:E20,"&lt;&gt;"))</f>
        <v/>
      </c>
      <c r="L20" s="35"/>
      <c r="M20" s="35"/>
      <c r="N20" s="35" t="s">
        <v>361</v>
      </c>
      <c r="O20" s="35">
        <f>MIN(145,COUNTIF($E$4:$E$147,"&lt;&gt;")+1)</f>
        <v>1</v>
      </c>
      <c r="P20" s="35"/>
      <c r="Q20" s="35"/>
      <c r="R20" s="94">
        <f>IF(E20="",0,IFERROR(IF(INDEX('Player Board'!$H$4:$H$163,MATCH(E20,'Player Board'!$B$4:$B$163,0))&lt;=20,4.5,IF(INDEX('Player Board'!$H$4:$H$163,MATCH(E20,'Player Board'!$B$4:$B$163,0))&lt;=40,3.5,IF(INDEX('Player Board'!$H$4:$H$163,MATCH(E20,'Player Board'!$B$4:$B$163,0))&lt;=70,2.5,IF(INDEX('Player Board'!$H$4:$H$163,MATCH(E20,'Player Board'!$B$4:$B$163,0))&lt;=110,1.5,1)))),1))</f>
        <v>0</v>
      </c>
      <c r="S20" s="2"/>
      <c r="T20" s="2"/>
      <c r="U20" s="2"/>
      <c r="V20" s="2"/>
      <c r="W20" s="2"/>
      <c r="X20" s="2"/>
      <c r="Y20" s="2"/>
      <c r="Z20" s="2"/>
    </row>
    <row r="21" spans="1:26" ht="11" customHeight="1">
      <c r="A21" s="35">
        <v>18</v>
      </c>
      <c r="B21" s="35">
        <v>3</v>
      </c>
      <c r="C21" s="35">
        <v>2</v>
      </c>
      <c r="D21" s="35" t="s">
        <v>101</v>
      </c>
      <c r="E21" s="35"/>
      <c r="F21" s="35" t="str">
        <f>IFERROR(INDEX('Player Board'!$C$4:$C$163,MATCH(E21,'Player Board'!$B$4:$B$163,0)),"")</f>
        <v/>
      </c>
      <c r="G21" s="35" t="str">
        <f t="shared" si="0"/>
        <v>No</v>
      </c>
      <c r="H21" s="35" t="str">
        <f>IFERROR(INDEX('Player Board'!$H$4:$H$163,MATCH(E21,'Player Board'!$B$4:$B$163,0)),"")</f>
        <v/>
      </c>
      <c r="I21" s="34" t="str">
        <f>IF(E21="","",IFERROR(A21-INDEX('Player Board'!$Q$4:$Q$163,MATCH(E21,'Player Board'!$B$4:$B$163,0)),""))</f>
        <v/>
      </c>
      <c r="J21" s="35"/>
      <c r="K21" s="35" t="str">
        <f>IF(OR(D21&lt;&gt;"Noah",E21=""),"",F21&amp;"-"&amp;COUNTIFS($D$4:D21,"Noah",$F$4:F21,F21,$E$4:E21,"&lt;&gt;"))</f>
        <v/>
      </c>
      <c r="L21" s="35"/>
      <c r="M21" s="35"/>
      <c r="N21" s="35" t="s">
        <v>362</v>
      </c>
      <c r="O21" s="35" t="str">
        <f>IF(ISNUMBER(O19),MAX(0,O19-O20),"")</f>
        <v/>
      </c>
      <c r="P21" s="35"/>
      <c r="Q21" s="35"/>
      <c r="R21" s="94">
        <f>IF(E21="",0,IFERROR(IF(INDEX('Player Board'!$H$4:$H$163,MATCH(E21,'Player Board'!$B$4:$B$163,0))&lt;=20,4.5,IF(INDEX('Player Board'!$H$4:$H$163,MATCH(E21,'Player Board'!$B$4:$B$163,0))&lt;=40,3.5,IF(INDEX('Player Board'!$H$4:$H$163,MATCH(E21,'Player Board'!$B$4:$B$163,0))&lt;=70,2.5,IF(INDEX('Player Board'!$H$4:$H$163,MATCH(E21,'Player Board'!$B$4:$B$163,0))&lt;=110,1.5,1)))),1))</f>
        <v>0</v>
      </c>
      <c r="S21" s="2"/>
      <c r="T21" s="2"/>
      <c r="U21" s="2"/>
      <c r="V21" s="2"/>
      <c r="W21" s="2"/>
      <c r="X21" s="2"/>
      <c r="Y21" s="2"/>
      <c r="Z21" s="2"/>
    </row>
    <row r="22" spans="1:26" ht="11" customHeight="1">
      <c r="A22" s="35">
        <v>19</v>
      </c>
      <c r="B22" s="35">
        <v>3</v>
      </c>
      <c r="C22" s="35">
        <v>3</v>
      </c>
      <c r="D22" s="35" t="s">
        <v>1</v>
      </c>
      <c r="E22" s="35"/>
      <c r="F22" s="35" t="str">
        <f>IFERROR(INDEX('Player Board'!$C$4:$C$163,MATCH(E22,'Player Board'!$B$4:$B$163,0)),"")</f>
        <v/>
      </c>
      <c r="G22" s="35" t="str">
        <f t="shared" si="0"/>
        <v>Yes</v>
      </c>
      <c r="H22" s="35" t="str">
        <f>IFERROR(INDEX('Player Board'!$H$4:$H$163,MATCH(E22,'Player Board'!$B$4:$B$163,0)),"")</f>
        <v/>
      </c>
      <c r="I22" s="34" t="str">
        <f>IF(E22="","",IFERROR(A22-INDEX('Player Board'!$Q$4:$Q$163,MATCH(E22,'Player Board'!$B$4:$B$163,0)),""))</f>
        <v/>
      </c>
      <c r="J22" s="35"/>
      <c r="K22" s="35" t="str">
        <f>IF(OR(D22&lt;&gt;"Noah",E22=""),"",F22&amp;"-"&amp;COUNTIFS($D$4:D22,"Noah",$F$4:F22,F22,$E$4:E22,"&lt;&gt;"))</f>
        <v/>
      </c>
      <c r="L22" s="35"/>
      <c r="M22" s="35"/>
      <c r="N22" s="35" t="s">
        <v>363</v>
      </c>
      <c r="O22" s="35" t="str">
        <f>IF(ISNUMBER(O19),INDEX($B$4:$B$147,MATCH(O19,$A$4:$A$147,0))&amp;"."&amp;TEXT(INDEX($C$4:$C$147,MATCH(O19,$A$4:$A$147,0)),"00"),"")</f>
        <v/>
      </c>
      <c r="P22" s="35"/>
      <c r="Q22" s="35"/>
      <c r="R22" s="94">
        <f>IF(E22="",0,IFERROR(IF(INDEX('Player Board'!$H$4:$H$163,MATCH(E22,'Player Board'!$B$4:$B$163,0))&lt;=20,4.5,IF(INDEX('Player Board'!$H$4:$H$163,MATCH(E22,'Player Board'!$B$4:$B$163,0))&lt;=40,3.5,IF(INDEX('Player Board'!$H$4:$H$163,MATCH(E22,'Player Board'!$B$4:$B$163,0))&lt;=70,2.5,IF(INDEX('Player Board'!$H$4:$H$163,MATCH(E22,'Player Board'!$B$4:$B$163,0))&lt;=110,1.5,1)))),1))</f>
        <v>0</v>
      </c>
      <c r="S22" s="2"/>
      <c r="T22" s="2"/>
      <c r="U22" s="2"/>
      <c r="V22" s="2"/>
      <c r="W22" s="2"/>
      <c r="X22" s="2"/>
      <c r="Y22" s="2"/>
      <c r="Z22" s="2"/>
    </row>
    <row r="23" spans="1:26" ht="11" customHeight="1">
      <c r="A23" s="35">
        <v>20</v>
      </c>
      <c r="B23" s="35">
        <v>3</v>
      </c>
      <c r="C23" s="35">
        <v>4</v>
      </c>
      <c r="D23" s="35" t="s">
        <v>2</v>
      </c>
      <c r="E23" s="35"/>
      <c r="F23" s="35" t="str">
        <f>IFERROR(INDEX('Player Board'!$C$4:$C$163,MATCH(E23,'Player Board'!$B$4:$B$163,0)),"")</f>
        <v/>
      </c>
      <c r="G23" s="35" t="str">
        <f t="shared" si="0"/>
        <v>No</v>
      </c>
      <c r="H23" s="35" t="str">
        <f>IFERROR(INDEX('Player Board'!$H$4:$H$163,MATCH(E23,'Player Board'!$B$4:$B$163,0)),"")</f>
        <v/>
      </c>
      <c r="I23" s="34" t="str">
        <f>IF(E23="","",IFERROR(A23-INDEX('Player Board'!$Q$4:$Q$163,MATCH(E23,'Player Board'!$B$4:$B$163,0)),""))</f>
        <v/>
      </c>
      <c r="J23" s="35"/>
      <c r="K23" s="35" t="str">
        <f>IF(OR(D23&lt;&gt;"Noah",E23=""),"",F23&amp;"-"&amp;COUNTIFS($D$4:D23,"Noah",$F$4:F23,F23,$E$4:E23,"&lt;&gt;"))</f>
        <v/>
      </c>
      <c r="L23" s="35"/>
      <c r="M23" s="35"/>
      <c r="N23" s="35"/>
      <c r="O23" s="35"/>
      <c r="P23" s="35"/>
      <c r="Q23" s="35"/>
      <c r="R23" s="94">
        <f>IF(E23="",0,IFERROR(IF(INDEX('Player Board'!$H$4:$H$163,MATCH(E23,'Player Board'!$B$4:$B$163,0))&lt;=20,4.5,IF(INDEX('Player Board'!$H$4:$H$163,MATCH(E23,'Player Board'!$B$4:$B$163,0))&lt;=40,3.5,IF(INDEX('Player Board'!$H$4:$H$163,MATCH(E23,'Player Board'!$B$4:$B$163,0))&lt;=70,2.5,IF(INDEX('Player Board'!$H$4:$H$163,MATCH(E23,'Player Board'!$B$4:$B$163,0))&lt;=110,1.5,1)))),1))</f>
        <v>0</v>
      </c>
      <c r="S23" s="2"/>
      <c r="T23" s="2"/>
      <c r="U23" s="2"/>
      <c r="V23" s="2"/>
      <c r="W23" s="2"/>
      <c r="X23" s="2"/>
      <c r="Y23" s="2"/>
      <c r="Z23" s="2"/>
    </row>
    <row r="24" spans="1:26" ht="11" customHeight="1">
      <c r="A24" s="35">
        <v>21</v>
      </c>
      <c r="B24" s="35">
        <v>3</v>
      </c>
      <c r="C24" s="35">
        <v>5</v>
      </c>
      <c r="D24" s="35" t="s">
        <v>3</v>
      </c>
      <c r="E24" s="35"/>
      <c r="F24" s="35" t="str">
        <f>IFERROR(INDEX('Player Board'!$C$4:$C$163,MATCH(E24,'Player Board'!$B$4:$B$163,0)),"")</f>
        <v/>
      </c>
      <c r="G24" s="35" t="str">
        <f t="shared" si="0"/>
        <v>No</v>
      </c>
      <c r="H24" s="35" t="str">
        <f>IFERROR(INDEX('Player Board'!$H$4:$H$163,MATCH(E24,'Player Board'!$B$4:$B$163,0)),"")</f>
        <v/>
      </c>
      <c r="I24" s="34" t="str">
        <f>IF(E24="","",IFERROR(A24-INDEX('Player Board'!$Q$4:$Q$163,MATCH(E24,'Player Board'!$B$4:$B$163,0)),""))</f>
        <v/>
      </c>
      <c r="J24" s="35"/>
      <c r="K24" s="35" t="str">
        <f>IF(OR(D24&lt;&gt;"Noah",E24=""),"",F24&amp;"-"&amp;COUNTIFS($D$4:D24,"Noah",$F$4:F24,F24,$E$4:E24,"&lt;&gt;"))</f>
        <v/>
      </c>
      <c r="L24" s="35"/>
      <c r="M24" s="35"/>
      <c r="N24" s="10" t="s">
        <v>364</v>
      </c>
      <c r="O24" s="10" t="s">
        <v>122</v>
      </c>
      <c r="P24" s="10" t="s">
        <v>341</v>
      </c>
      <c r="Q24" s="10" t="s">
        <v>365</v>
      </c>
      <c r="R24" s="94">
        <f>IF(E24="",0,IFERROR(IF(INDEX('Player Board'!$H$4:$H$163,MATCH(E24,'Player Board'!$B$4:$B$163,0))&lt;=20,4.5,IF(INDEX('Player Board'!$H$4:$H$163,MATCH(E24,'Player Board'!$B$4:$B$163,0))&lt;=40,3.5,IF(INDEX('Player Board'!$H$4:$H$163,MATCH(E24,'Player Board'!$B$4:$B$163,0))&lt;=70,2.5,IF(INDEX('Player Board'!$H$4:$H$163,MATCH(E24,'Player Board'!$B$4:$B$163,0))&lt;=110,1.5,1)))),1))</f>
        <v>0</v>
      </c>
      <c r="S24" s="2"/>
      <c r="T24" s="2"/>
      <c r="U24" s="2"/>
      <c r="V24" s="2"/>
      <c r="W24" s="2"/>
      <c r="X24" s="2"/>
      <c r="Y24" s="2"/>
      <c r="Z24" s="2"/>
    </row>
    <row r="25" spans="1:26" ht="11" customHeight="1">
      <c r="A25" s="35">
        <v>22</v>
      </c>
      <c r="B25" s="35">
        <v>3</v>
      </c>
      <c r="C25" s="35">
        <v>6</v>
      </c>
      <c r="D25" s="35" t="s">
        <v>98</v>
      </c>
      <c r="E25" s="35"/>
      <c r="F25" s="35" t="str">
        <f>IFERROR(INDEX('Player Board'!$C$4:$C$163,MATCH(E25,'Player Board'!$B$4:$B$163,0)),"")</f>
        <v/>
      </c>
      <c r="G25" s="35" t="str">
        <f t="shared" si="0"/>
        <v>No</v>
      </c>
      <c r="H25" s="35" t="str">
        <f>IFERROR(INDEX('Player Board'!$H$4:$H$163,MATCH(E25,'Player Board'!$B$4:$B$163,0)),"")</f>
        <v/>
      </c>
      <c r="I25" s="34" t="str">
        <f>IF(E25="","",IFERROR(A25-INDEX('Player Board'!$Q$4:$Q$163,MATCH(E25,'Player Board'!$B$4:$B$163,0)),""))</f>
        <v/>
      </c>
      <c r="J25" s="35"/>
      <c r="K25" s="35" t="str">
        <f>IF(OR(D25&lt;&gt;"Noah",E25=""),"",F25&amp;"-"&amp;COUNTIFS($D$4:D25,"Noah",$F$4:F25,F25,$E$4:E25,"&lt;&gt;"))</f>
        <v/>
      </c>
      <c r="L25" s="35"/>
      <c r="M25" s="35"/>
      <c r="N25" s="35" t="str">
        <f>'Available Players'!B5</f>
        <v>Jeremiyah Love</v>
      </c>
      <c r="O25" s="35" t="str">
        <f>'Available Players'!C5</f>
        <v>RB</v>
      </c>
      <c r="P25" s="35">
        <f>'Available Players'!E5</f>
        <v>24</v>
      </c>
      <c r="Q25" s="35" t="str">
        <f>IF(N25="","",IFERROR(INDEX('Player Board'!$R$4:$R$163,MATCH(N25,'Player Board'!$B$4:$B$163,0)),"No"))</f>
        <v>Rookie</v>
      </c>
      <c r="R25" s="94">
        <f>IF(E25="",0,IFERROR(IF(INDEX('Player Board'!$H$4:$H$163,MATCH(E25,'Player Board'!$B$4:$B$163,0))&lt;=20,4.5,IF(INDEX('Player Board'!$H$4:$H$163,MATCH(E25,'Player Board'!$B$4:$B$163,0))&lt;=40,3.5,IF(INDEX('Player Board'!$H$4:$H$163,MATCH(E25,'Player Board'!$B$4:$B$163,0))&lt;=70,2.5,IF(INDEX('Player Board'!$H$4:$H$163,MATCH(E25,'Player Board'!$B$4:$B$163,0))&lt;=110,1.5,1)))),1))</f>
        <v>0</v>
      </c>
      <c r="S25" s="2"/>
      <c r="T25" s="2"/>
      <c r="U25" s="2"/>
      <c r="V25" s="2"/>
      <c r="W25" s="2"/>
      <c r="X25" s="2"/>
      <c r="Y25" s="2"/>
      <c r="Z25" s="2"/>
    </row>
    <row r="26" spans="1:26" ht="11" customHeight="1">
      <c r="A26" s="35">
        <v>23</v>
      </c>
      <c r="B26" s="35">
        <v>3</v>
      </c>
      <c r="C26" s="35">
        <v>7</v>
      </c>
      <c r="D26" s="35" t="s">
        <v>107</v>
      </c>
      <c r="E26" s="35"/>
      <c r="F26" s="35" t="str">
        <f>IFERROR(INDEX('Player Board'!$C$4:$C$163,MATCH(E26,'Player Board'!$B$4:$B$163,0)),"")</f>
        <v/>
      </c>
      <c r="G26" s="35" t="str">
        <f t="shared" si="0"/>
        <v>No</v>
      </c>
      <c r="H26" s="35" t="str">
        <f>IFERROR(INDEX('Player Board'!$H$4:$H$163,MATCH(E26,'Player Board'!$B$4:$B$163,0)),"")</f>
        <v/>
      </c>
      <c r="I26" s="34" t="str">
        <f>IF(E26="","",IFERROR(A26-INDEX('Player Board'!$Q$4:$Q$163,MATCH(E26,'Player Board'!$B$4:$B$163,0)),""))</f>
        <v/>
      </c>
      <c r="J26" s="35"/>
      <c r="K26" s="35" t="str">
        <f>IF(OR(D26&lt;&gt;"Noah",E26=""),"",F26&amp;"-"&amp;COUNTIFS($D$4:D26,"Noah",$F$4:F26,F26,$E$4:E26,"&lt;&gt;"))</f>
        <v/>
      </c>
      <c r="L26" s="35"/>
      <c r="M26" s="35"/>
      <c r="N26" s="35" t="str">
        <f>'Available Players'!B6</f>
        <v>Carnell Tate</v>
      </c>
      <c r="O26" s="35" t="str">
        <f>'Available Players'!C6</f>
        <v>WR</v>
      </c>
      <c r="P26" s="35">
        <f>'Available Players'!E6</f>
        <v>31</v>
      </c>
      <c r="Q26" s="35" t="str">
        <f>IF(N26="","",IFERROR(INDEX('Player Board'!$R$4:$R$163,MATCH(N26,'Player Board'!$B$4:$B$163,0)),"No"))</f>
        <v>Rookie</v>
      </c>
      <c r="R26" s="94">
        <f>IF(E26="",0,IFERROR(IF(INDEX('Player Board'!$H$4:$H$163,MATCH(E26,'Player Board'!$B$4:$B$163,0))&lt;=20,4.5,IF(INDEX('Player Board'!$H$4:$H$163,MATCH(E26,'Player Board'!$B$4:$B$163,0))&lt;=40,3.5,IF(INDEX('Player Board'!$H$4:$H$163,MATCH(E26,'Player Board'!$B$4:$B$163,0))&lt;=70,2.5,IF(INDEX('Player Board'!$H$4:$H$163,MATCH(E26,'Player Board'!$B$4:$B$163,0))&lt;=110,1.5,1)))),1))</f>
        <v>0</v>
      </c>
      <c r="S26" s="2"/>
      <c r="T26" s="2"/>
      <c r="U26" s="2"/>
      <c r="V26" s="2"/>
      <c r="W26" s="2"/>
      <c r="X26" s="2"/>
      <c r="Y26" s="2"/>
      <c r="Z26" s="2"/>
    </row>
    <row r="27" spans="1:26" ht="11" customHeight="1">
      <c r="A27" s="35">
        <v>24</v>
      </c>
      <c r="B27" s="35">
        <v>3</v>
      </c>
      <c r="C27" s="35">
        <v>8</v>
      </c>
      <c r="D27" s="35" t="s">
        <v>3</v>
      </c>
      <c r="E27" s="35"/>
      <c r="F27" s="35" t="str">
        <f>IFERROR(INDEX('Player Board'!$C$4:$C$163,MATCH(E27,'Player Board'!$B$4:$B$163,0)),"")</f>
        <v/>
      </c>
      <c r="G27" s="35" t="str">
        <f t="shared" si="0"/>
        <v>No</v>
      </c>
      <c r="H27" s="35" t="str">
        <f>IFERROR(INDEX('Player Board'!$H$4:$H$163,MATCH(E27,'Player Board'!$B$4:$B$163,0)),"")</f>
        <v/>
      </c>
      <c r="I27" s="34" t="str">
        <f>IF(E27="","",IFERROR(A27-INDEX('Player Board'!$Q$4:$Q$163,MATCH(E27,'Player Board'!$B$4:$B$163,0)),""))</f>
        <v/>
      </c>
      <c r="J27" s="35"/>
      <c r="K27" s="35" t="str">
        <f>IF(OR(D27&lt;&gt;"Noah",E27=""),"",F27&amp;"-"&amp;COUNTIFS($D$4:D27,"Noah",$F$4:F27,F27,$E$4:E27,"&lt;&gt;"))</f>
        <v/>
      </c>
      <c r="L27" s="35"/>
      <c r="M27" s="35"/>
      <c r="N27" s="35" t="str">
        <f>'Available Players'!B7</f>
        <v>Jordyn Tyson</v>
      </c>
      <c r="O27" s="35" t="str">
        <f>'Available Players'!C7</f>
        <v>WR</v>
      </c>
      <c r="P27" s="35">
        <f>'Available Players'!E7</f>
        <v>51</v>
      </c>
      <c r="Q27" s="35" t="str">
        <f>IF(N27="","",IFERROR(INDEX('Player Board'!$R$4:$R$163,MATCH(N27,'Player Board'!$B$4:$B$163,0)),"No"))</f>
        <v>Rookie</v>
      </c>
      <c r="R27" s="94">
        <f>IF(E27="",0,IFERROR(IF(INDEX('Player Board'!$H$4:$H$163,MATCH(E27,'Player Board'!$B$4:$B$163,0))&lt;=20,4.5,IF(INDEX('Player Board'!$H$4:$H$163,MATCH(E27,'Player Board'!$B$4:$B$163,0))&lt;=40,3.5,IF(INDEX('Player Board'!$H$4:$H$163,MATCH(E27,'Player Board'!$B$4:$B$163,0))&lt;=70,2.5,IF(INDEX('Player Board'!$H$4:$H$163,MATCH(E27,'Player Board'!$B$4:$B$163,0))&lt;=110,1.5,1)))),1))</f>
        <v>0</v>
      </c>
      <c r="S27" s="2"/>
      <c r="T27" s="2"/>
      <c r="U27" s="2"/>
      <c r="V27" s="2"/>
      <c r="W27" s="2"/>
      <c r="X27" s="2"/>
      <c r="Y27" s="2"/>
      <c r="Z27" s="2"/>
    </row>
    <row r="28" spans="1:26" ht="11" customHeight="1">
      <c r="A28" s="35">
        <v>25</v>
      </c>
      <c r="B28" s="35">
        <v>4</v>
      </c>
      <c r="C28" s="35">
        <v>1</v>
      </c>
      <c r="D28" s="35"/>
      <c r="E28" s="35"/>
      <c r="F28" s="35" t="str">
        <f>IFERROR(INDEX('Player Board'!$C$4:$C$163,MATCH(E28,'Player Board'!$B$4:$B$163,0)),"")</f>
        <v/>
      </c>
      <c r="G28" s="35" t="str">
        <f t="shared" si="0"/>
        <v>No</v>
      </c>
      <c r="H28" s="35" t="str">
        <f>IFERROR(INDEX('Player Board'!$H$4:$H$163,MATCH(E28,'Player Board'!$B$4:$B$163,0)),"")</f>
        <v/>
      </c>
      <c r="I28" s="34" t="str">
        <f>IF(E28="","",IFERROR(A28-INDEX('Player Board'!$Q$4:$Q$163,MATCH(E28,'Player Board'!$B$4:$B$163,0)),""))</f>
        <v/>
      </c>
      <c r="J28" s="35"/>
      <c r="K28" s="35" t="str">
        <f>IF(OR(D28&lt;&gt;"Noah",E28=""),"",F28&amp;"-"&amp;COUNTIFS($D$4:D28,"Noah",$F$4:F28,F28,$E$4:E28,"&lt;&gt;"))</f>
        <v/>
      </c>
      <c r="L28" s="35"/>
      <c r="M28" s="35"/>
      <c r="N28" s="35" t="str">
        <f>'Available Players'!B8</f>
        <v>Makai Lemon</v>
      </c>
      <c r="O28" s="35" t="str">
        <f>'Available Players'!C8</f>
        <v>WR</v>
      </c>
      <c r="P28" s="35">
        <f>'Available Players'!E8</f>
        <v>52</v>
      </c>
      <c r="Q28" s="35" t="str">
        <f>IF(N28="","",IFERROR(INDEX('Player Board'!$R$4:$R$163,MATCH(N28,'Player Board'!$B$4:$B$163,0)),"No"))</f>
        <v>Rookie</v>
      </c>
      <c r="R28" s="94">
        <f>IF(E28="",0,IFERROR(IF(INDEX('Player Board'!$H$4:$H$163,MATCH(E28,'Player Board'!$B$4:$B$163,0))&lt;=20,4.5,IF(INDEX('Player Board'!$H$4:$H$163,MATCH(E28,'Player Board'!$B$4:$B$163,0))&lt;=40,3.5,IF(INDEX('Player Board'!$H$4:$H$163,MATCH(E28,'Player Board'!$B$4:$B$163,0))&lt;=70,2.5,IF(INDEX('Player Board'!$H$4:$H$163,MATCH(E28,'Player Board'!$B$4:$B$163,0))&lt;=110,1.5,1)))),1))</f>
        <v>0</v>
      </c>
      <c r="S28" s="2"/>
      <c r="T28" s="2"/>
      <c r="U28" s="2"/>
      <c r="V28" s="2"/>
      <c r="W28" s="2"/>
      <c r="X28" s="2"/>
      <c r="Y28" s="2"/>
      <c r="Z28" s="2"/>
    </row>
    <row r="29" spans="1:26" ht="11" customHeight="1">
      <c r="A29" s="35">
        <v>26</v>
      </c>
      <c r="B29" s="35">
        <v>4</v>
      </c>
      <c r="C29" s="35">
        <v>2</v>
      </c>
      <c r="D29" s="35"/>
      <c r="E29" s="35"/>
      <c r="F29" s="35" t="str">
        <f>IFERROR(INDEX('Player Board'!$C$4:$C$163,MATCH(E29,'Player Board'!$B$4:$B$163,0)),"")</f>
        <v/>
      </c>
      <c r="G29" s="35" t="str">
        <f t="shared" si="0"/>
        <v>No</v>
      </c>
      <c r="H29" s="35" t="str">
        <f>IFERROR(INDEX('Player Board'!$H$4:$H$163,MATCH(E29,'Player Board'!$B$4:$B$163,0)),"")</f>
        <v/>
      </c>
      <c r="I29" s="34" t="str">
        <f>IF(E29="","",IFERROR(A29-INDEX('Player Board'!$Q$4:$Q$163,MATCH(E29,'Player Board'!$B$4:$B$163,0)),""))</f>
        <v/>
      </c>
      <c r="J29" s="35"/>
      <c r="K29" s="35" t="str">
        <f>IF(OR(D29&lt;&gt;"Noah",E29=""),"",F29&amp;"-"&amp;COUNTIFS($D$4:D29,"Noah",$F$4:F29,F29,$E$4:E29,"&lt;&gt;"))</f>
        <v/>
      </c>
      <c r="L29" s="35"/>
      <c r="M29" s="35"/>
      <c r="N29" s="35" t="str">
        <f>'Available Players'!B9</f>
        <v>Fernando Mendoza</v>
      </c>
      <c r="O29" s="35" t="str">
        <f>'Available Players'!C9</f>
        <v>QB</v>
      </c>
      <c r="P29" s="35">
        <f>'Available Players'!E9</f>
        <v>53</v>
      </c>
      <c r="Q29" s="35" t="str">
        <f>IF(N29="","",IFERROR(INDEX('Player Board'!$R$4:$R$163,MATCH(N29,'Player Board'!$B$4:$B$163,0)),"No"))</f>
        <v>Rookie</v>
      </c>
      <c r="R29" s="94">
        <f>IF(E29="",0,IFERROR(IF(INDEX('Player Board'!$H$4:$H$163,MATCH(E29,'Player Board'!$B$4:$B$163,0))&lt;=20,4.5,IF(INDEX('Player Board'!$H$4:$H$163,MATCH(E29,'Player Board'!$B$4:$B$163,0))&lt;=40,3.5,IF(INDEX('Player Board'!$H$4:$H$163,MATCH(E29,'Player Board'!$B$4:$B$163,0))&lt;=70,2.5,IF(INDEX('Player Board'!$H$4:$H$163,MATCH(E29,'Player Board'!$B$4:$B$163,0))&lt;=110,1.5,1)))),1))</f>
        <v>0</v>
      </c>
      <c r="S29" s="2"/>
      <c r="T29" s="2"/>
      <c r="U29" s="2"/>
      <c r="V29" s="2"/>
      <c r="W29" s="2"/>
      <c r="X29" s="2"/>
      <c r="Y29" s="2"/>
      <c r="Z29" s="2"/>
    </row>
    <row r="30" spans="1:26" ht="11" customHeight="1">
      <c r="A30" s="35">
        <v>27</v>
      </c>
      <c r="B30" s="35">
        <v>4</v>
      </c>
      <c r="C30" s="35">
        <v>3</v>
      </c>
      <c r="D30" s="35"/>
      <c r="E30" s="35"/>
      <c r="F30" s="35" t="str">
        <f>IFERROR(INDEX('Player Board'!$C$4:$C$163,MATCH(E30,'Player Board'!$B$4:$B$163,0)),"")</f>
        <v/>
      </c>
      <c r="G30" s="35" t="str">
        <f t="shared" si="0"/>
        <v>No</v>
      </c>
      <c r="H30" s="35" t="str">
        <f>IFERROR(INDEX('Player Board'!$H$4:$H$163,MATCH(E30,'Player Board'!$B$4:$B$163,0)),"")</f>
        <v/>
      </c>
      <c r="I30" s="34" t="str">
        <f>IF(E30="","",IFERROR(A30-INDEX('Player Board'!$Q$4:$Q$163,MATCH(E30,'Player Board'!$B$4:$B$163,0)),""))</f>
        <v/>
      </c>
      <c r="J30" s="35"/>
      <c r="K30" s="35" t="str">
        <f>IF(OR(D30&lt;&gt;"Noah",E30=""),"",F30&amp;"-"&amp;COUNTIFS($D$4:D30,"Noah",$F$4:F30,F30,$E$4:E30,"&lt;&gt;"))</f>
        <v/>
      </c>
      <c r="L30" s="35"/>
      <c r="M30" s="35"/>
      <c r="N30" s="35"/>
      <c r="O30" s="35"/>
      <c r="P30" s="35"/>
      <c r="Q30" s="35"/>
      <c r="R30" s="94">
        <f>IF(E30="",0,IFERROR(IF(INDEX('Player Board'!$H$4:$H$163,MATCH(E30,'Player Board'!$B$4:$B$163,0))&lt;=20,4.5,IF(INDEX('Player Board'!$H$4:$H$163,MATCH(E30,'Player Board'!$B$4:$B$163,0))&lt;=40,3.5,IF(INDEX('Player Board'!$H$4:$H$163,MATCH(E30,'Player Board'!$B$4:$B$163,0))&lt;=70,2.5,IF(INDEX('Player Board'!$H$4:$H$163,MATCH(E30,'Player Board'!$B$4:$B$163,0))&lt;=110,1.5,1)))),1))</f>
        <v>0</v>
      </c>
      <c r="S30" s="2"/>
      <c r="T30" s="2"/>
      <c r="U30" s="2"/>
      <c r="V30" s="2"/>
      <c r="W30" s="2"/>
      <c r="X30" s="2"/>
      <c r="Y30" s="2"/>
      <c r="Z30" s="2"/>
    </row>
    <row r="31" spans="1:26" ht="11" customHeight="1">
      <c r="A31" s="35">
        <v>28</v>
      </c>
      <c r="B31" s="35">
        <v>4</v>
      </c>
      <c r="C31" s="35">
        <v>4</v>
      </c>
      <c r="D31" s="35" t="s">
        <v>1</v>
      </c>
      <c r="E31" s="35"/>
      <c r="F31" s="35" t="str">
        <f>IFERROR(INDEX('Player Board'!$C$4:$C$163,MATCH(E31,'Player Board'!$B$4:$B$163,0)),"")</f>
        <v/>
      </c>
      <c r="G31" s="35" t="str">
        <f t="shared" si="0"/>
        <v>Yes</v>
      </c>
      <c r="H31" s="35" t="str">
        <f>IFERROR(INDEX('Player Board'!$H$4:$H$163,MATCH(E31,'Player Board'!$B$4:$B$163,0)),"")</f>
        <v/>
      </c>
      <c r="I31" s="34" t="str">
        <f>IF(E31="","",IFERROR(A31-INDEX('Player Board'!$Q$4:$Q$163,MATCH(E31,'Player Board'!$B$4:$B$163,0)),""))</f>
        <v/>
      </c>
      <c r="J31" s="35"/>
      <c r="K31" s="35" t="str">
        <f>IF(OR(D31&lt;&gt;"Noah",E31=""),"",F31&amp;"-"&amp;COUNTIFS($D$4:D31,"Noah",$F$4:F31,F31,$E$4:E31,"&lt;&gt;"))</f>
        <v/>
      </c>
      <c r="L31" s="35"/>
      <c r="M31" s="35"/>
      <c r="N31" s="35"/>
      <c r="O31" s="35"/>
      <c r="P31" s="35"/>
      <c r="Q31" s="35"/>
      <c r="R31" s="94">
        <f>IF(E31="",0,IFERROR(IF(INDEX('Player Board'!$H$4:$H$163,MATCH(E31,'Player Board'!$B$4:$B$163,0))&lt;=20,4.5,IF(INDEX('Player Board'!$H$4:$H$163,MATCH(E31,'Player Board'!$B$4:$B$163,0))&lt;=40,3.5,IF(INDEX('Player Board'!$H$4:$H$163,MATCH(E31,'Player Board'!$B$4:$B$163,0))&lt;=70,2.5,IF(INDEX('Player Board'!$H$4:$H$163,MATCH(E31,'Player Board'!$B$4:$B$163,0))&lt;=110,1.5,1)))),1))</f>
        <v>0</v>
      </c>
      <c r="S31" s="2"/>
      <c r="T31" s="2"/>
      <c r="U31" s="2"/>
      <c r="V31" s="2"/>
      <c r="W31" s="2"/>
      <c r="X31" s="2"/>
      <c r="Y31" s="2"/>
      <c r="Z31" s="2"/>
    </row>
    <row r="32" spans="1:26" ht="11" customHeight="1">
      <c r="A32" s="35">
        <v>29</v>
      </c>
      <c r="B32" s="35">
        <v>4</v>
      </c>
      <c r="C32" s="35">
        <v>5</v>
      </c>
      <c r="D32" s="35"/>
      <c r="E32" s="35"/>
      <c r="F32" s="35" t="str">
        <f>IFERROR(INDEX('Player Board'!$C$4:$C$163,MATCH(E32,'Player Board'!$B$4:$B$163,0)),"")</f>
        <v/>
      </c>
      <c r="G32" s="35" t="str">
        <f t="shared" si="0"/>
        <v>No</v>
      </c>
      <c r="H32" s="35" t="str">
        <f>IFERROR(INDEX('Player Board'!$H$4:$H$163,MATCH(E32,'Player Board'!$B$4:$B$163,0)),"")</f>
        <v/>
      </c>
      <c r="I32" s="34" t="str">
        <f>IF(E32="","",IFERROR(A32-INDEX('Player Board'!$Q$4:$Q$163,MATCH(E32,'Player Board'!$B$4:$B$163,0)),""))</f>
        <v/>
      </c>
      <c r="J32" s="35"/>
      <c r="K32" s="35" t="str">
        <f>IF(OR(D32&lt;&gt;"Noah",E32=""),"",F32&amp;"-"&amp;COUNTIFS($D$4:D32,"Noah",$F$4:F32,F32,$E$4:E32,"&lt;&gt;"))</f>
        <v/>
      </c>
      <c r="L32" s="35"/>
      <c r="M32" s="35"/>
      <c r="N32" s="35"/>
      <c r="O32" s="35"/>
      <c r="P32" s="35"/>
      <c r="Q32" s="35"/>
      <c r="R32" s="94">
        <f>IF(E32="",0,IFERROR(IF(INDEX('Player Board'!$H$4:$H$163,MATCH(E32,'Player Board'!$B$4:$B$163,0))&lt;=20,4.5,IF(INDEX('Player Board'!$H$4:$H$163,MATCH(E32,'Player Board'!$B$4:$B$163,0))&lt;=40,3.5,IF(INDEX('Player Board'!$H$4:$H$163,MATCH(E32,'Player Board'!$B$4:$B$163,0))&lt;=70,2.5,IF(INDEX('Player Board'!$H$4:$H$163,MATCH(E32,'Player Board'!$B$4:$B$163,0))&lt;=110,1.5,1)))),1))</f>
        <v>0</v>
      </c>
      <c r="S32" s="2"/>
      <c r="T32" s="2"/>
      <c r="U32" s="2"/>
      <c r="V32" s="2"/>
      <c r="W32" s="2"/>
      <c r="X32" s="2"/>
      <c r="Y32" s="2"/>
      <c r="Z32" s="2"/>
    </row>
    <row r="33" spans="1:26" ht="11" customHeight="1">
      <c r="A33" s="35">
        <v>30</v>
      </c>
      <c r="B33" s="35">
        <v>4</v>
      </c>
      <c r="C33" s="35">
        <v>6</v>
      </c>
      <c r="D33" s="35"/>
      <c r="E33" s="35"/>
      <c r="F33" s="35" t="str">
        <f>IFERROR(INDEX('Player Board'!$C$4:$C$163,MATCH(E33,'Player Board'!$B$4:$B$163,0)),"")</f>
        <v/>
      </c>
      <c r="G33" s="35" t="str">
        <f t="shared" si="0"/>
        <v>No</v>
      </c>
      <c r="H33" s="35" t="str">
        <f>IFERROR(INDEX('Player Board'!$H$4:$H$163,MATCH(E33,'Player Board'!$B$4:$B$163,0)),"")</f>
        <v/>
      </c>
      <c r="I33" s="34" t="str">
        <f>IF(E33="","",IFERROR(A33-INDEX('Player Board'!$Q$4:$Q$163,MATCH(E33,'Player Board'!$B$4:$B$163,0)),""))</f>
        <v/>
      </c>
      <c r="J33" s="35"/>
      <c r="K33" s="35" t="str">
        <f>IF(OR(D33&lt;&gt;"Noah",E33=""),"",F33&amp;"-"&amp;COUNTIFS($D$4:D33,"Noah",$F$4:F33,F33,$E$4:E33,"&lt;&gt;"))</f>
        <v/>
      </c>
      <c r="L33" s="35"/>
      <c r="M33" s="35"/>
      <c r="N33" s="35"/>
      <c r="O33" s="35"/>
      <c r="P33" s="35"/>
      <c r="Q33" s="35"/>
      <c r="R33" s="94">
        <f>IF(E33="",0,IFERROR(IF(INDEX('Player Board'!$H$4:$H$163,MATCH(E33,'Player Board'!$B$4:$B$163,0))&lt;=20,4.5,IF(INDEX('Player Board'!$H$4:$H$163,MATCH(E33,'Player Board'!$B$4:$B$163,0))&lt;=40,3.5,IF(INDEX('Player Board'!$H$4:$H$163,MATCH(E33,'Player Board'!$B$4:$B$163,0))&lt;=70,2.5,IF(INDEX('Player Board'!$H$4:$H$163,MATCH(E33,'Player Board'!$B$4:$B$163,0))&lt;=110,1.5,1)))),1))</f>
        <v>0</v>
      </c>
      <c r="S33" s="2"/>
      <c r="T33" s="2"/>
      <c r="U33" s="2"/>
      <c r="V33" s="2"/>
      <c r="W33" s="2"/>
      <c r="X33" s="2"/>
      <c r="Y33" s="2"/>
      <c r="Z33" s="2"/>
    </row>
    <row r="34" spans="1:26" ht="11" customHeight="1">
      <c r="A34" s="35">
        <v>31</v>
      </c>
      <c r="B34" s="35">
        <v>4</v>
      </c>
      <c r="C34" s="35">
        <v>7</v>
      </c>
      <c r="D34" s="35"/>
      <c r="E34" s="35"/>
      <c r="F34" s="35" t="str">
        <f>IFERROR(INDEX('Player Board'!$C$4:$C$163,MATCH(E34,'Player Board'!$B$4:$B$163,0)),"")</f>
        <v/>
      </c>
      <c r="G34" s="35" t="str">
        <f t="shared" si="0"/>
        <v>No</v>
      </c>
      <c r="H34" s="35" t="str">
        <f>IFERROR(INDEX('Player Board'!$H$4:$H$163,MATCH(E34,'Player Board'!$B$4:$B$163,0)),"")</f>
        <v/>
      </c>
      <c r="I34" s="34" t="str">
        <f>IF(E34="","",IFERROR(A34-INDEX('Player Board'!$Q$4:$Q$163,MATCH(E34,'Player Board'!$B$4:$B$163,0)),""))</f>
        <v/>
      </c>
      <c r="J34" s="35"/>
      <c r="K34" s="35" t="str">
        <f>IF(OR(D34&lt;&gt;"Noah",E34=""),"",F34&amp;"-"&amp;COUNTIFS($D$4:D34,"Noah",$F$4:F34,F34,$E$4:E34,"&lt;&gt;"))</f>
        <v/>
      </c>
      <c r="L34" s="35"/>
      <c r="M34" s="35"/>
      <c r="N34" s="35"/>
      <c r="O34" s="35"/>
      <c r="P34" s="35"/>
      <c r="Q34" s="35"/>
      <c r="R34" s="94">
        <f>IF(E34="",0,IFERROR(IF(INDEX('Player Board'!$H$4:$H$163,MATCH(E34,'Player Board'!$B$4:$B$163,0))&lt;=20,4.5,IF(INDEX('Player Board'!$H$4:$H$163,MATCH(E34,'Player Board'!$B$4:$B$163,0))&lt;=40,3.5,IF(INDEX('Player Board'!$H$4:$H$163,MATCH(E34,'Player Board'!$B$4:$B$163,0))&lt;=70,2.5,IF(INDEX('Player Board'!$H$4:$H$163,MATCH(E34,'Player Board'!$B$4:$B$163,0))&lt;=110,1.5,1)))),1))</f>
        <v>0</v>
      </c>
      <c r="S34" s="2"/>
      <c r="T34" s="2"/>
      <c r="U34" s="2"/>
      <c r="V34" s="2"/>
      <c r="W34" s="2"/>
      <c r="X34" s="2"/>
      <c r="Y34" s="2"/>
      <c r="Z34" s="2"/>
    </row>
    <row r="35" spans="1:26" ht="11" customHeight="1">
      <c r="A35" s="35">
        <v>32</v>
      </c>
      <c r="B35" s="35">
        <v>4</v>
      </c>
      <c r="C35" s="35">
        <v>8</v>
      </c>
      <c r="D35" s="35"/>
      <c r="E35" s="35"/>
      <c r="F35" s="35" t="str">
        <f>IFERROR(INDEX('Player Board'!$C$4:$C$163,MATCH(E35,'Player Board'!$B$4:$B$163,0)),"")</f>
        <v/>
      </c>
      <c r="G35" s="35" t="str">
        <f t="shared" si="0"/>
        <v>No</v>
      </c>
      <c r="H35" s="35" t="str">
        <f>IFERROR(INDEX('Player Board'!$H$4:$H$163,MATCH(E35,'Player Board'!$B$4:$B$163,0)),"")</f>
        <v/>
      </c>
      <c r="I35" s="34" t="str">
        <f>IF(E35="","",IFERROR(A35-INDEX('Player Board'!$Q$4:$Q$163,MATCH(E35,'Player Board'!$B$4:$B$163,0)),""))</f>
        <v/>
      </c>
      <c r="J35" s="35"/>
      <c r="K35" s="35" t="str">
        <f>IF(OR(D35&lt;&gt;"Noah",E35=""),"",F35&amp;"-"&amp;COUNTIFS($D$4:D35,"Noah",$F$4:F35,F35,$E$4:E35,"&lt;&gt;"))</f>
        <v/>
      </c>
      <c r="L35" s="35"/>
      <c r="M35" s="35"/>
      <c r="N35" s="35"/>
      <c r="O35" s="35"/>
      <c r="P35" s="35"/>
      <c r="Q35" s="35"/>
      <c r="R35" s="94">
        <f>IF(E35="",0,IFERROR(IF(INDEX('Player Board'!$H$4:$H$163,MATCH(E35,'Player Board'!$B$4:$B$163,0))&lt;=20,4.5,IF(INDEX('Player Board'!$H$4:$H$163,MATCH(E35,'Player Board'!$B$4:$B$163,0))&lt;=40,3.5,IF(INDEX('Player Board'!$H$4:$H$163,MATCH(E35,'Player Board'!$B$4:$B$163,0))&lt;=70,2.5,IF(INDEX('Player Board'!$H$4:$H$163,MATCH(E35,'Player Board'!$B$4:$B$163,0))&lt;=110,1.5,1)))),1))</f>
        <v>0</v>
      </c>
      <c r="S35" s="2"/>
      <c r="T35" s="2"/>
      <c r="U35" s="2"/>
      <c r="V35" s="2"/>
      <c r="W35" s="2"/>
      <c r="X35" s="2"/>
      <c r="Y35" s="2"/>
      <c r="Z35" s="2"/>
    </row>
    <row r="36" spans="1:26" ht="11" customHeight="1">
      <c r="A36" s="35">
        <v>33</v>
      </c>
      <c r="B36" s="35">
        <v>5</v>
      </c>
      <c r="C36" s="35">
        <v>1</v>
      </c>
      <c r="D36" s="35"/>
      <c r="E36" s="35"/>
      <c r="F36" s="35" t="str">
        <f>IFERROR(INDEX('Player Board'!$C$4:$C$163,MATCH(E36,'Player Board'!$B$4:$B$163,0)),"")</f>
        <v/>
      </c>
      <c r="G36" s="35" t="str">
        <f t="shared" ref="G36:G67" si="1">IF(D36="Noah","Yes","No")</f>
        <v>No</v>
      </c>
      <c r="H36" s="35" t="str">
        <f>IFERROR(INDEX('Player Board'!$H$4:$H$163,MATCH(E36,'Player Board'!$B$4:$B$163,0)),"")</f>
        <v/>
      </c>
      <c r="I36" s="34" t="str">
        <f>IF(E36="","",IFERROR(A36-INDEX('Player Board'!$Q$4:$Q$163,MATCH(E36,'Player Board'!$B$4:$B$163,0)),""))</f>
        <v/>
      </c>
      <c r="J36" s="35"/>
      <c r="K36" s="35" t="str">
        <f>IF(OR(D36&lt;&gt;"Noah",E36=""),"",F36&amp;"-"&amp;COUNTIFS($D$4:D36,"Noah",$F$4:F36,F36,$E$4:E36,"&lt;&gt;"))</f>
        <v/>
      </c>
      <c r="L36" s="35"/>
      <c r="M36" s="35"/>
      <c r="N36" s="35"/>
      <c r="O36" s="35"/>
      <c r="P36" s="35"/>
      <c r="Q36" s="35"/>
      <c r="R36" s="94">
        <f>IF(E36="",0,IFERROR(IF(INDEX('Player Board'!$H$4:$H$163,MATCH(E36,'Player Board'!$B$4:$B$163,0))&lt;=20,4.5,IF(INDEX('Player Board'!$H$4:$H$163,MATCH(E36,'Player Board'!$B$4:$B$163,0))&lt;=40,3.5,IF(INDEX('Player Board'!$H$4:$H$163,MATCH(E36,'Player Board'!$B$4:$B$163,0))&lt;=70,2.5,IF(INDEX('Player Board'!$H$4:$H$163,MATCH(E36,'Player Board'!$B$4:$B$163,0))&lt;=110,1.5,1)))),1))</f>
        <v>0</v>
      </c>
      <c r="S36" s="2"/>
      <c r="T36" s="2"/>
      <c r="U36" s="2"/>
      <c r="V36" s="2"/>
      <c r="W36" s="2"/>
      <c r="X36" s="2"/>
      <c r="Y36" s="2"/>
      <c r="Z36" s="2"/>
    </row>
    <row r="37" spans="1:26" ht="11" customHeight="1">
      <c r="A37" s="35">
        <v>34</v>
      </c>
      <c r="B37" s="35">
        <v>5</v>
      </c>
      <c r="C37" s="35">
        <v>2</v>
      </c>
      <c r="D37" s="35" t="s">
        <v>1</v>
      </c>
      <c r="E37" s="35"/>
      <c r="F37" s="35" t="str">
        <f>IFERROR(INDEX('Player Board'!$C$4:$C$163,MATCH(E37,'Player Board'!$B$4:$B$163,0)),"")</f>
        <v/>
      </c>
      <c r="G37" s="35" t="str">
        <f t="shared" si="1"/>
        <v>Yes</v>
      </c>
      <c r="H37" s="35" t="str">
        <f>IFERROR(INDEX('Player Board'!$H$4:$H$163,MATCH(E37,'Player Board'!$B$4:$B$163,0)),"")</f>
        <v/>
      </c>
      <c r="I37" s="34" t="str">
        <f>IF(E37="","",IFERROR(A37-INDEX('Player Board'!$Q$4:$Q$163,MATCH(E37,'Player Board'!$B$4:$B$163,0)),""))</f>
        <v/>
      </c>
      <c r="J37" s="35"/>
      <c r="K37" s="35" t="str">
        <f>IF(OR(D37&lt;&gt;"Noah",E37=""),"",F37&amp;"-"&amp;COUNTIFS($D$4:D37,"Noah",$F$4:F37,F37,$E$4:E37,"&lt;&gt;"))</f>
        <v/>
      </c>
      <c r="L37" s="35"/>
      <c r="M37" s="35"/>
      <c r="N37" s="35"/>
      <c r="O37" s="35"/>
      <c r="P37" s="35"/>
      <c r="Q37" s="35"/>
      <c r="R37" s="94">
        <f>IF(E37="",0,IFERROR(IF(INDEX('Player Board'!$H$4:$H$163,MATCH(E37,'Player Board'!$B$4:$B$163,0))&lt;=20,4.5,IF(INDEX('Player Board'!$H$4:$H$163,MATCH(E37,'Player Board'!$B$4:$B$163,0))&lt;=40,3.5,IF(INDEX('Player Board'!$H$4:$H$163,MATCH(E37,'Player Board'!$B$4:$B$163,0))&lt;=70,2.5,IF(INDEX('Player Board'!$H$4:$H$163,MATCH(E37,'Player Board'!$B$4:$B$163,0))&lt;=110,1.5,1)))),1))</f>
        <v>0</v>
      </c>
      <c r="S37" s="2"/>
      <c r="T37" s="2"/>
      <c r="U37" s="2"/>
      <c r="V37" s="2"/>
      <c r="W37" s="2"/>
      <c r="X37" s="2"/>
      <c r="Y37" s="2"/>
      <c r="Z37" s="2"/>
    </row>
    <row r="38" spans="1:26" ht="11" customHeight="1">
      <c r="A38" s="35">
        <v>35</v>
      </c>
      <c r="B38" s="35">
        <v>5</v>
      </c>
      <c r="C38" s="35">
        <v>3</v>
      </c>
      <c r="D38" s="35" t="s">
        <v>1</v>
      </c>
      <c r="E38" s="35"/>
      <c r="F38" s="35" t="str">
        <f>IFERROR(INDEX('Player Board'!$C$4:$C$163,MATCH(E38,'Player Board'!$B$4:$B$163,0)),"")</f>
        <v/>
      </c>
      <c r="G38" s="35" t="str">
        <f t="shared" si="1"/>
        <v>Yes</v>
      </c>
      <c r="H38" s="35" t="str">
        <f>IFERROR(INDEX('Player Board'!$H$4:$H$163,MATCH(E38,'Player Board'!$B$4:$B$163,0)),"")</f>
        <v/>
      </c>
      <c r="I38" s="34" t="str">
        <f>IF(E38="","",IFERROR(A38-INDEX('Player Board'!$Q$4:$Q$163,MATCH(E38,'Player Board'!$B$4:$B$163,0)),""))</f>
        <v/>
      </c>
      <c r="J38" s="35"/>
      <c r="K38" s="35" t="str">
        <f>IF(OR(D38&lt;&gt;"Noah",E38=""),"",F38&amp;"-"&amp;COUNTIFS($D$4:D38,"Noah",$F$4:F38,F38,$E$4:E38,"&lt;&gt;"))</f>
        <v/>
      </c>
      <c r="L38" s="35"/>
      <c r="M38" s="35"/>
      <c r="N38" s="35"/>
      <c r="O38" s="35"/>
      <c r="P38" s="35"/>
      <c r="Q38" s="35"/>
      <c r="R38" s="94">
        <f>IF(E38="",0,IFERROR(IF(INDEX('Player Board'!$H$4:$H$163,MATCH(E38,'Player Board'!$B$4:$B$163,0))&lt;=20,4.5,IF(INDEX('Player Board'!$H$4:$H$163,MATCH(E38,'Player Board'!$B$4:$B$163,0))&lt;=40,3.5,IF(INDEX('Player Board'!$H$4:$H$163,MATCH(E38,'Player Board'!$B$4:$B$163,0))&lt;=70,2.5,IF(INDEX('Player Board'!$H$4:$H$163,MATCH(E38,'Player Board'!$B$4:$B$163,0))&lt;=110,1.5,1)))),1))</f>
        <v>0</v>
      </c>
      <c r="S38" s="2"/>
      <c r="T38" s="2"/>
      <c r="U38" s="2"/>
      <c r="V38" s="2"/>
      <c r="W38" s="2"/>
      <c r="X38" s="2"/>
      <c r="Y38" s="2"/>
      <c r="Z38" s="2"/>
    </row>
    <row r="39" spans="1:26" ht="11" customHeight="1">
      <c r="A39" s="35">
        <v>36</v>
      </c>
      <c r="B39" s="35">
        <v>5</v>
      </c>
      <c r="C39" s="35">
        <v>4</v>
      </c>
      <c r="D39" s="35"/>
      <c r="E39" s="35"/>
      <c r="F39" s="35" t="str">
        <f>IFERROR(INDEX('Player Board'!$C$4:$C$163,MATCH(E39,'Player Board'!$B$4:$B$163,0)),"")</f>
        <v/>
      </c>
      <c r="G39" s="35" t="str">
        <f t="shared" si="1"/>
        <v>No</v>
      </c>
      <c r="H39" s="35" t="str">
        <f>IFERROR(INDEX('Player Board'!$H$4:$H$163,MATCH(E39,'Player Board'!$B$4:$B$163,0)),"")</f>
        <v/>
      </c>
      <c r="I39" s="34" t="str">
        <f>IF(E39="","",IFERROR(A39-INDEX('Player Board'!$Q$4:$Q$163,MATCH(E39,'Player Board'!$B$4:$B$163,0)),""))</f>
        <v/>
      </c>
      <c r="J39" s="35"/>
      <c r="K39" s="35" t="str">
        <f>IF(OR(D39&lt;&gt;"Noah",E39=""),"",F39&amp;"-"&amp;COUNTIFS($D$4:D39,"Noah",$F$4:F39,F39,$E$4:E39,"&lt;&gt;"))</f>
        <v/>
      </c>
      <c r="L39" s="35"/>
      <c r="M39" s="35"/>
      <c r="N39" s="35"/>
      <c r="O39" s="35"/>
      <c r="P39" s="35"/>
      <c r="Q39" s="35"/>
      <c r="R39" s="94">
        <f>IF(E39="",0,IFERROR(IF(INDEX('Player Board'!$H$4:$H$163,MATCH(E39,'Player Board'!$B$4:$B$163,0))&lt;=20,4.5,IF(INDEX('Player Board'!$H$4:$H$163,MATCH(E39,'Player Board'!$B$4:$B$163,0))&lt;=40,3.5,IF(INDEX('Player Board'!$H$4:$H$163,MATCH(E39,'Player Board'!$B$4:$B$163,0))&lt;=70,2.5,IF(INDEX('Player Board'!$H$4:$H$163,MATCH(E39,'Player Board'!$B$4:$B$163,0))&lt;=110,1.5,1)))),1))</f>
        <v>0</v>
      </c>
      <c r="S39" s="2"/>
      <c r="T39" s="2"/>
      <c r="U39" s="2"/>
      <c r="V39" s="2"/>
      <c r="W39" s="2"/>
      <c r="X39" s="2"/>
      <c r="Y39" s="2"/>
      <c r="Z39" s="2"/>
    </row>
    <row r="40" spans="1:26" ht="11" customHeight="1">
      <c r="A40" s="35">
        <v>37</v>
      </c>
      <c r="B40" s="35">
        <v>5</v>
      </c>
      <c r="C40" s="35">
        <v>5</v>
      </c>
      <c r="D40" s="35"/>
      <c r="E40" s="35"/>
      <c r="F40" s="35" t="str">
        <f>IFERROR(INDEX('Player Board'!$C$4:$C$163,MATCH(E40,'Player Board'!$B$4:$B$163,0)),"")</f>
        <v/>
      </c>
      <c r="G40" s="35" t="str">
        <f t="shared" si="1"/>
        <v>No</v>
      </c>
      <c r="H40" s="35" t="str">
        <f>IFERROR(INDEX('Player Board'!$H$4:$H$163,MATCH(E40,'Player Board'!$B$4:$B$163,0)),"")</f>
        <v/>
      </c>
      <c r="I40" s="34" t="str">
        <f>IF(E40="","",IFERROR(A40-INDEX('Player Board'!$Q$4:$Q$163,MATCH(E40,'Player Board'!$B$4:$B$163,0)),""))</f>
        <v/>
      </c>
      <c r="J40" s="35"/>
      <c r="K40" s="35" t="str">
        <f>IF(OR(D40&lt;&gt;"Noah",E40=""),"",F40&amp;"-"&amp;COUNTIFS($D$4:D40,"Noah",$F$4:F40,F40,$E$4:E40,"&lt;&gt;"))</f>
        <v/>
      </c>
      <c r="L40" s="35"/>
      <c r="M40" s="35"/>
      <c r="N40" s="35"/>
      <c r="O40" s="35"/>
      <c r="P40" s="35"/>
      <c r="Q40" s="35"/>
      <c r="R40" s="94">
        <f>IF(E40="",0,IFERROR(IF(INDEX('Player Board'!$H$4:$H$163,MATCH(E40,'Player Board'!$B$4:$B$163,0))&lt;=20,4.5,IF(INDEX('Player Board'!$H$4:$H$163,MATCH(E40,'Player Board'!$B$4:$B$163,0))&lt;=40,3.5,IF(INDEX('Player Board'!$H$4:$H$163,MATCH(E40,'Player Board'!$B$4:$B$163,0))&lt;=70,2.5,IF(INDEX('Player Board'!$H$4:$H$163,MATCH(E40,'Player Board'!$B$4:$B$163,0))&lt;=110,1.5,1)))),1))</f>
        <v>0</v>
      </c>
      <c r="S40" s="2"/>
      <c r="T40" s="2"/>
      <c r="U40" s="2"/>
      <c r="V40" s="2"/>
      <c r="W40" s="2"/>
      <c r="X40" s="2"/>
      <c r="Y40" s="2"/>
      <c r="Z40" s="2"/>
    </row>
    <row r="41" spans="1:26" ht="11" customHeight="1">
      <c r="A41" s="35">
        <v>38</v>
      </c>
      <c r="B41" s="35">
        <v>5</v>
      </c>
      <c r="C41" s="35">
        <v>6</v>
      </c>
      <c r="D41" s="35"/>
      <c r="E41" s="35"/>
      <c r="F41" s="35" t="str">
        <f>IFERROR(INDEX('Player Board'!$C$4:$C$163,MATCH(E41,'Player Board'!$B$4:$B$163,0)),"")</f>
        <v/>
      </c>
      <c r="G41" s="35" t="str">
        <f t="shared" si="1"/>
        <v>No</v>
      </c>
      <c r="H41" s="35" t="str">
        <f>IFERROR(INDEX('Player Board'!$H$4:$H$163,MATCH(E41,'Player Board'!$B$4:$B$163,0)),"")</f>
        <v/>
      </c>
      <c r="I41" s="34" t="str">
        <f>IF(E41="","",IFERROR(A41-INDEX('Player Board'!$Q$4:$Q$163,MATCH(E41,'Player Board'!$B$4:$B$163,0)),""))</f>
        <v/>
      </c>
      <c r="J41" s="35"/>
      <c r="K41" s="35" t="str">
        <f>IF(OR(D41&lt;&gt;"Noah",E41=""),"",F41&amp;"-"&amp;COUNTIFS($D$4:D41,"Noah",$F$4:F41,F41,$E$4:E41,"&lt;&gt;"))</f>
        <v/>
      </c>
      <c r="L41" s="35"/>
      <c r="M41" s="35"/>
      <c r="N41" s="35"/>
      <c r="O41" s="35"/>
      <c r="P41" s="35"/>
      <c r="Q41" s="35"/>
      <c r="R41" s="94">
        <f>IF(E41="",0,IFERROR(IF(INDEX('Player Board'!$H$4:$H$163,MATCH(E41,'Player Board'!$B$4:$B$163,0))&lt;=20,4.5,IF(INDEX('Player Board'!$H$4:$H$163,MATCH(E41,'Player Board'!$B$4:$B$163,0))&lt;=40,3.5,IF(INDEX('Player Board'!$H$4:$H$163,MATCH(E41,'Player Board'!$B$4:$B$163,0))&lt;=70,2.5,IF(INDEX('Player Board'!$H$4:$H$163,MATCH(E41,'Player Board'!$B$4:$B$163,0))&lt;=110,1.5,1)))),1))</f>
        <v>0</v>
      </c>
      <c r="S41" s="2"/>
      <c r="T41" s="2"/>
      <c r="U41" s="2"/>
      <c r="V41" s="2"/>
      <c r="W41" s="2"/>
      <c r="X41" s="2"/>
      <c r="Y41" s="2"/>
      <c r="Z41" s="2"/>
    </row>
    <row r="42" spans="1:26" ht="11" customHeight="1">
      <c r="A42" s="35">
        <v>39</v>
      </c>
      <c r="B42" s="35">
        <v>5</v>
      </c>
      <c r="C42" s="35">
        <v>7</v>
      </c>
      <c r="D42" s="35"/>
      <c r="E42" s="35"/>
      <c r="F42" s="35" t="str">
        <f>IFERROR(INDEX('Player Board'!$C$4:$C$163,MATCH(E42,'Player Board'!$B$4:$B$163,0)),"")</f>
        <v/>
      </c>
      <c r="G42" s="35" t="str">
        <f t="shared" si="1"/>
        <v>No</v>
      </c>
      <c r="H42" s="35" t="str">
        <f>IFERROR(INDEX('Player Board'!$H$4:$H$163,MATCH(E42,'Player Board'!$B$4:$B$163,0)),"")</f>
        <v/>
      </c>
      <c r="I42" s="34" t="str">
        <f>IF(E42="","",IFERROR(A42-INDEX('Player Board'!$Q$4:$Q$163,MATCH(E42,'Player Board'!$B$4:$B$163,0)),""))</f>
        <v/>
      </c>
      <c r="J42" s="35"/>
      <c r="K42" s="35" t="str">
        <f>IF(OR(D42&lt;&gt;"Noah",E42=""),"",F42&amp;"-"&amp;COUNTIFS($D$4:D42,"Noah",$F$4:F42,F42,$E$4:E42,"&lt;&gt;"))</f>
        <v/>
      </c>
      <c r="L42" s="35"/>
      <c r="M42" s="35"/>
      <c r="N42" s="35"/>
      <c r="O42" s="35"/>
      <c r="P42" s="35"/>
      <c r="Q42" s="35"/>
      <c r="R42" s="94">
        <f>IF(E42="",0,IFERROR(IF(INDEX('Player Board'!$H$4:$H$163,MATCH(E42,'Player Board'!$B$4:$B$163,0))&lt;=20,4.5,IF(INDEX('Player Board'!$H$4:$H$163,MATCH(E42,'Player Board'!$B$4:$B$163,0))&lt;=40,3.5,IF(INDEX('Player Board'!$H$4:$H$163,MATCH(E42,'Player Board'!$B$4:$B$163,0))&lt;=70,2.5,IF(INDEX('Player Board'!$H$4:$H$163,MATCH(E42,'Player Board'!$B$4:$B$163,0))&lt;=110,1.5,1)))),1))</f>
        <v>0</v>
      </c>
      <c r="S42" s="2"/>
      <c r="T42" s="2"/>
      <c r="U42" s="2"/>
      <c r="V42" s="2"/>
      <c r="W42" s="2"/>
      <c r="X42" s="2"/>
      <c r="Y42" s="2"/>
      <c r="Z42" s="2"/>
    </row>
    <row r="43" spans="1:26" ht="11" customHeight="1">
      <c r="A43" s="35">
        <v>40</v>
      </c>
      <c r="B43" s="35">
        <v>5</v>
      </c>
      <c r="C43" s="35">
        <v>8</v>
      </c>
      <c r="D43" s="35"/>
      <c r="E43" s="35"/>
      <c r="F43" s="35" t="str">
        <f>IFERROR(INDEX('Player Board'!$C$4:$C$163,MATCH(E43,'Player Board'!$B$4:$B$163,0)),"")</f>
        <v/>
      </c>
      <c r="G43" s="35" t="str">
        <f t="shared" si="1"/>
        <v>No</v>
      </c>
      <c r="H43" s="35" t="str">
        <f>IFERROR(INDEX('Player Board'!$H$4:$H$163,MATCH(E43,'Player Board'!$B$4:$B$163,0)),"")</f>
        <v/>
      </c>
      <c r="I43" s="34" t="str">
        <f>IF(E43="","",IFERROR(A43-INDEX('Player Board'!$Q$4:$Q$163,MATCH(E43,'Player Board'!$B$4:$B$163,0)),""))</f>
        <v/>
      </c>
      <c r="J43" s="35"/>
      <c r="K43" s="35" t="str">
        <f>IF(OR(D43&lt;&gt;"Noah",E43=""),"",F43&amp;"-"&amp;COUNTIFS($D$4:D43,"Noah",$F$4:F43,F43,$E$4:E43,"&lt;&gt;"))</f>
        <v/>
      </c>
      <c r="L43" s="35"/>
      <c r="M43" s="35"/>
      <c r="N43" s="35"/>
      <c r="O43" s="35"/>
      <c r="P43" s="35"/>
      <c r="Q43" s="35"/>
      <c r="R43" s="94">
        <f>IF(E43="",0,IFERROR(IF(INDEX('Player Board'!$H$4:$H$163,MATCH(E43,'Player Board'!$B$4:$B$163,0))&lt;=20,4.5,IF(INDEX('Player Board'!$H$4:$H$163,MATCH(E43,'Player Board'!$B$4:$B$163,0))&lt;=40,3.5,IF(INDEX('Player Board'!$H$4:$H$163,MATCH(E43,'Player Board'!$B$4:$B$163,0))&lt;=70,2.5,IF(INDEX('Player Board'!$H$4:$H$163,MATCH(E43,'Player Board'!$B$4:$B$163,0))&lt;=110,1.5,1)))),1))</f>
        <v>0</v>
      </c>
      <c r="S43" s="2"/>
      <c r="T43" s="2"/>
      <c r="U43" s="2"/>
      <c r="V43" s="2"/>
      <c r="W43" s="2"/>
      <c r="X43" s="2"/>
      <c r="Y43" s="2"/>
      <c r="Z43" s="2"/>
    </row>
    <row r="44" spans="1:26" ht="11" customHeight="1">
      <c r="A44" s="35">
        <v>41</v>
      </c>
      <c r="B44" s="35">
        <v>6</v>
      </c>
      <c r="C44" s="35">
        <v>1</v>
      </c>
      <c r="D44" s="35"/>
      <c r="E44" s="35"/>
      <c r="F44" s="35" t="str">
        <f>IFERROR(INDEX('Player Board'!$C$4:$C$163,MATCH(E44,'Player Board'!$B$4:$B$163,0)),"")</f>
        <v/>
      </c>
      <c r="G44" s="35" t="str">
        <f t="shared" si="1"/>
        <v>No</v>
      </c>
      <c r="H44" s="35" t="str">
        <f>IFERROR(INDEX('Player Board'!$H$4:$H$163,MATCH(E44,'Player Board'!$B$4:$B$163,0)),"")</f>
        <v/>
      </c>
      <c r="I44" s="34" t="str">
        <f>IF(E44="","",IFERROR(A44-INDEX('Player Board'!$Q$4:$Q$163,MATCH(E44,'Player Board'!$B$4:$B$163,0)),""))</f>
        <v/>
      </c>
      <c r="J44" s="35"/>
      <c r="K44" s="35" t="str">
        <f>IF(OR(D44&lt;&gt;"Noah",E44=""),"",F44&amp;"-"&amp;COUNTIFS($D$4:D44,"Noah",$F$4:F44,F44,$E$4:E44,"&lt;&gt;"))</f>
        <v/>
      </c>
      <c r="L44" s="35"/>
      <c r="M44" s="35"/>
      <c r="N44" s="35"/>
      <c r="O44" s="35"/>
      <c r="P44" s="35"/>
      <c r="Q44" s="35"/>
      <c r="R44" s="94">
        <f>IF(E44="",0,IFERROR(IF(INDEX('Player Board'!$H$4:$H$163,MATCH(E44,'Player Board'!$B$4:$B$163,0))&lt;=20,4.5,IF(INDEX('Player Board'!$H$4:$H$163,MATCH(E44,'Player Board'!$B$4:$B$163,0))&lt;=40,3.5,IF(INDEX('Player Board'!$H$4:$H$163,MATCH(E44,'Player Board'!$B$4:$B$163,0))&lt;=70,2.5,IF(INDEX('Player Board'!$H$4:$H$163,MATCH(E44,'Player Board'!$B$4:$B$163,0))&lt;=110,1.5,1)))),1))</f>
        <v>0</v>
      </c>
      <c r="S44" s="2"/>
      <c r="T44" s="2"/>
      <c r="U44" s="2"/>
      <c r="V44" s="2"/>
      <c r="W44" s="2"/>
      <c r="X44" s="2"/>
      <c r="Y44" s="2"/>
      <c r="Z44" s="2"/>
    </row>
    <row r="45" spans="1:26" ht="11" customHeight="1">
      <c r="A45" s="35">
        <v>42</v>
      </c>
      <c r="B45" s="35">
        <v>6</v>
      </c>
      <c r="C45" s="35">
        <v>2</v>
      </c>
      <c r="D45" s="35"/>
      <c r="E45" s="35"/>
      <c r="F45" s="35" t="str">
        <f>IFERROR(INDEX('Player Board'!$C$4:$C$163,MATCH(E45,'Player Board'!$B$4:$B$163,0)),"")</f>
        <v/>
      </c>
      <c r="G45" s="35" t="str">
        <f t="shared" si="1"/>
        <v>No</v>
      </c>
      <c r="H45" s="35" t="str">
        <f>IFERROR(INDEX('Player Board'!$H$4:$H$163,MATCH(E45,'Player Board'!$B$4:$B$163,0)),"")</f>
        <v/>
      </c>
      <c r="I45" s="34" t="str">
        <f>IF(E45="","",IFERROR(A45-INDEX('Player Board'!$Q$4:$Q$163,MATCH(E45,'Player Board'!$B$4:$B$163,0)),""))</f>
        <v/>
      </c>
      <c r="J45" s="35"/>
      <c r="K45" s="35" t="str">
        <f>IF(OR(D45&lt;&gt;"Noah",E45=""),"",F45&amp;"-"&amp;COUNTIFS($D$4:D45,"Noah",$F$4:F45,F45,$E$4:E45,"&lt;&gt;"))</f>
        <v/>
      </c>
      <c r="L45" s="35"/>
      <c r="M45" s="35"/>
      <c r="N45" s="35"/>
      <c r="O45" s="35"/>
      <c r="P45" s="35"/>
      <c r="Q45" s="35"/>
      <c r="R45" s="94">
        <f>IF(E45="",0,IFERROR(IF(INDEX('Player Board'!$H$4:$H$163,MATCH(E45,'Player Board'!$B$4:$B$163,0))&lt;=20,4.5,IF(INDEX('Player Board'!$H$4:$H$163,MATCH(E45,'Player Board'!$B$4:$B$163,0))&lt;=40,3.5,IF(INDEX('Player Board'!$H$4:$H$163,MATCH(E45,'Player Board'!$B$4:$B$163,0))&lt;=70,2.5,IF(INDEX('Player Board'!$H$4:$H$163,MATCH(E45,'Player Board'!$B$4:$B$163,0))&lt;=110,1.5,1)))),1))</f>
        <v>0</v>
      </c>
      <c r="S45" s="2"/>
      <c r="T45" s="2"/>
      <c r="U45" s="2"/>
      <c r="V45" s="2"/>
      <c r="W45" s="2"/>
      <c r="X45" s="2"/>
      <c r="Y45" s="2"/>
      <c r="Z45" s="2"/>
    </row>
    <row r="46" spans="1:26" ht="11" customHeight="1">
      <c r="A46" s="35">
        <v>43</v>
      </c>
      <c r="B46" s="35">
        <v>6</v>
      </c>
      <c r="C46" s="35">
        <v>3</v>
      </c>
      <c r="D46" s="35"/>
      <c r="E46" s="35"/>
      <c r="F46" s="35" t="str">
        <f>IFERROR(INDEX('Player Board'!$C$4:$C$163,MATCH(E46,'Player Board'!$B$4:$B$163,0)),"")</f>
        <v/>
      </c>
      <c r="G46" s="35" t="str">
        <f t="shared" si="1"/>
        <v>No</v>
      </c>
      <c r="H46" s="35" t="str">
        <f>IFERROR(INDEX('Player Board'!$H$4:$H$163,MATCH(E46,'Player Board'!$B$4:$B$163,0)),"")</f>
        <v/>
      </c>
      <c r="I46" s="34" t="str">
        <f>IF(E46="","",IFERROR(A46-INDEX('Player Board'!$Q$4:$Q$163,MATCH(E46,'Player Board'!$B$4:$B$163,0)),""))</f>
        <v/>
      </c>
      <c r="J46" s="35"/>
      <c r="K46" s="35" t="str">
        <f>IF(OR(D46&lt;&gt;"Noah",E46=""),"",F46&amp;"-"&amp;COUNTIFS($D$4:D46,"Noah",$F$4:F46,F46,$E$4:E46,"&lt;&gt;"))</f>
        <v/>
      </c>
      <c r="L46" s="35"/>
      <c r="M46" s="35"/>
      <c r="N46" s="35"/>
      <c r="O46" s="35"/>
      <c r="P46" s="35"/>
      <c r="Q46" s="35"/>
      <c r="R46" s="94">
        <f>IF(E46="",0,IFERROR(IF(INDEX('Player Board'!$H$4:$H$163,MATCH(E46,'Player Board'!$B$4:$B$163,0))&lt;=20,4.5,IF(INDEX('Player Board'!$H$4:$H$163,MATCH(E46,'Player Board'!$B$4:$B$163,0))&lt;=40,3.5,IF(INDEX('Player Board'!$H$4:$H$163,MATCH(E46,'Player Board'!$B$4:$B$163,0))&lt;=70,2.5,IF(INDEX('Player Board'!$H$4:$H$163,MATCH(E46,'Player Board'!$B$4:$B$163,0))&lt;=110,1.5,1)))),1))</f>
        <v>0</v>
      </c>
      <c r="S46" s="2"/>
      <c r="T46" s="2"/>
      <c r="U46" s="2"/>
      <c r="V46" s="2"/>
      <c r="W46" s="2"/>
      <c r="X46" s="2"/>
      <c r="Y46" s="2"/>
      <c r="Z46" s="2"/>
    </row>
    <row r="47" spans="1:26" ht="11" customHeight="1">
      <c r="A47" s="35">
        <v>44</v>
      </c>
      <c r="B47" s="35">
        <v>6</v>
      </c>
      <c r="C47" s="35">
        <v>4</v>
      </c>
      <c r="D47" s="35"/>
      <c r="E47" s="35"/>
      <c r="F47" s="35" t="str">
        <f>IFERROR(INDEX('Player Board'!$C$4:$C$163,MATCH(E47,'Player Board'!$B$4:$B$163,0)),"")</f>
        <v/>
      </c>
      <c r="G47" s="35" t="str">
        <f t="shared" si="1"/>
        <v>No</v>
      </c>
      <c r="H47" s="35" t="str">
        <f>IFERROR(INDEX('Player Board'!$H$4:$H$163,MATCH(E47,'Player Board'!$B$4:$B$163,0)),"")</f>
        <v/>
      </c>
      <c r="I47" s="34" t="str">
        <f>IF(E47="","",IFERROR(A47-INDEX('Player Board'!$Q$4:$Q$163,MATCH(E47,'Player Board'!$B$4:$B$163,0)),""))</f>
        <v/>
      </c>
      <c r="J47" s="35"/>
      <c r="K47" s="35" t="str">
        <f>IF(OR(D47&lt;&gt;"Noah",E47=""),"",F47&amp;"-"&amp;COUNTIFS($D$4:D47,"Noah",$F$4:F47,F47,$E$4:E47,"&lt;&gt;"))</f>
        <v/>
      </c>
      <c r="L47" s="35"/>
      <c r="M47" s="35"/>
      <c r="N47" s="35"/>
      <c r="O47" s="35"/>
      <c r="P47" s="35"/>
      <c r="Q47" s="35"/>
      <c r="R47" s="94">
        <f>IF(E47="",0,IFERROR(IF(INDEX('Player Board'!$H$4:$H$163,MATCH(E47,'Player Board'!$B$4:$B$163,0))&lt;=20,4.5,IF(INDEX('Player Board'!$H$4:$H$163,MATCH(E47,'Player Board'!$B$4:$B$163,0))&lt;=40,3.5,IF(INDEX('Player Board'!$H$4:$H$163,MATCH(E47,'Player Board'!$B$4:$B$163,0))&lt;=70,2.5,IF(INDEX('Player Board'!$H$4:$H$163,MATCH(E47,'Player Board'!$B$4:$B$163,0))&lt;=110,1.5,1)))),1))</f>
        <v>0</v>
      </c>
      <c r="S47" s="2"/>
      <c r="T47" s="2"/>
      <c r="U47" s="2"/>
      <c r="V47" s="2"/>
      <c r="W47" s="2"/>
      <c r="X47" s="2"/>
      <c r="Y47" s="2"/>
      <c r="Z47" s="2"/>
    </row>
    <row r="48" spans="1:26" ht="11" customHeight="1">
      <c r="A48" s="35">
        <v>45</v>
      </c>
      <c r="B48" s="35">
        <v>6</v>
      </c>
      <c r="C48" s="35">
        <v>5</v>
      </c>
      <c r="D48" s="35"/>
      <c r="E48" s="35"/>
      <c r="F48" s="35" t="str">
        <f>IFERROR(INDEX('Player Board'!$C$4:$C$163,MATCH(E48,'Player Board'!$B$4:$B$163,0)),"")</f>
        <v/>
      </c>
      <c r="G48" s="35" t="str">
        <f t="shared" si="1"/>
        <v>No</v>
      </c>
      <c r="H48" s="35" t="str">
        <f>IFERROR(INDEX('Player Board'!$H$4:$H$163,MATCH(E48,'Player Board'!$B$4:$B$163,0)),"")</f>
        <v/>
      </c>
      <c r="I48" s="34" t="str">
        <f>IF(E48="","",IFERROR(A48-INDEX('Player Board'!$Q$4:$Q$163,MATCH(E48,'Player Board'!$B$4:$B$163,0)),""))</f>
        <v/>
      </c>
      <c r="J48" s="35"/>
      <c r="K48" s="35" t="str">
        <f>IF(OR(D48&lt;&gt;"Noah",E48=""),"",F48&amp;"-"&amp;COUNTIFS($D$4:D48,"Noah",$F$4:F48,F48,$E$4:E48,"&lt;&gt;"))</f>
        <v/>
      </c>
      <c r="L48" s="35"/>
      <c r="M48" s="35"/>
      <c r="N48" s="35"/>
      <c r="O48" s="35"/>
      <c r="P48" s="35"/>
      <c r="Q48" s="35"/>
      <c r="R48" s="94">
        <f>IF(E48="",0,IFERROR(IF(INDEX('Player Board'!$H$4:$H$163,MATCH(E48,'Player Board'!$B$4:$B$163,0))&lt;=20,4.5,IF(INDEX('Player Board'!$H$4:$H$163,MATCH(E48,'Player Board'!$B$4:$B$163,0))&lt;=40,3.5,IF(INDEX('Player Board'!$H$4:$H$163,MATCH(E48,'Player Board'!$B$4:$B$163,0))&lt;=70,2.5,IF(INDEX('Player Board'!$H$4:$H$163,MATCH(E48,'Player Board'!$B$4:$B$163,0))&lt;=110,1.5,1)))),1))</f>
        <v>0</v>
      </c>
      <c r="S48" s="2"/>
      <c r="T48" s="2"/>
      <c r="U48" s="2"/>
      <c r="V48" s="2"/>
      <c r="W48" s="2"/>
      <c r="X48" s="2"/>
      <c r="Y48" s="2"/>
      <c r="Z48" s="2"/>
    </row>
    <row r="49" spans="1:26" ht="11" customHeight="1">
      <c r="A49" s="35">
        <v>46</v>
      </c>
      <c r="B49" s="35">
        <v>6</v>
      </c>
      <c r="C49" s="35">
        <v>6</v>
      </c>
      <c r="D49" s="35"/>
      <c r="E49" s="35"/>
      <c r="F49" s="35" t="str">
        <f>IFERROR(INDEX('Player Board'!$C$4:$C$163,MATCH(E49,'Player Board'!$B$4:$B$163,0)),"")</f>
        <v/>
      </c>
      <c r="G49" s="35" t="str">
        <f t="shared" si="1"/>
        <v>No</v>
      </c>
      <c r="H49" s="35" t="str">
        <f>IFERROR(INDEX('Player Board'!$H$4:$H$163,MATCH(E49,'Player Board'!$B$4:$B$163,0)),"")</f>
        <v/>
      </c>
      <c r="I49" s="34" t="str">
        <f>IF(E49="","",IFERROR(A49-INDEX('Player Board'!$Q$4:$Q$163,MATCH(E49,'Player Board'!$B$4:$B$163,0)),""))</f>
        <v/>
      </c>
      <c r="J49" s="35"/>
      <c r="K49" s="35" t="str">
        <f>IF(OR(D49&lt;&gt;"Noah",E49=""),"",F49&amp;"-"&amp;COUNTIFS($D$4:D49,"Noah",$F$4:F49,F49,$E$4:E49,"&lt;&gt;"))</f>
        <v/>
      </c>
      <c r="L49" s="35"/>
      <c r="M49" s="35"/>
      <c r="N49" s="35"/>
      <c r="O49" s="35"/>
      <c r="P49" s="35"/>
      <c r="Q49" s="35"/>
      <c r="R49" s="94">
        <f>IF(E49="",0,IFERROR(IF(INDEX('Player Board'!$H$4:$H$163,MATCH(E49,'Player Board'!$B$4:$B$163,0))&lt;=20,4.5,IF(INDEX('Player Board'!$H$4:$H$163,MATCH(E49,'Player Board'!$B$4:$B$163,0))&lt;=40,3.5,IF(INDEX('Player Board'!$H$4:$H$163,MATCH(E49,'Player Board'!$B$4:$B$163,0))&lt;=70,2.5,IF(INDEX('Player Board'!$H$4:$H$163,MATCH(E49,'Player Board'!$B$4:$B$163,0))&lt;=110,1.5,1)))),1))</f>
        <v>0</v>
      </c>
      <c r="S49" s="2"/>
      <c r="T49" s="2"/>
      <c r="U49" s="2"/>
      <c r="V49" s="2"/>
      <c r="W49" s="2"/>
      <c r="X49" s="2"/>
      <c r="Y49" s="2"/>
      <c r="Z49" s="2"/>
    </row>
    <row r="50" spans="1:26" ht="11" customHeight="1">
      <c r="A50" s="35">
        <v>47</v>
      </c>
      <c r="B50" s="35">
        <v>6</v>
      </c>
      <c r="C50" s="35">
        <v>7</v>
      </c>
      <c r="D50" s="35"/>
      <c r="E50" s="35"/>
      <c r="F50" s="35" t="str">
        <f>IFERROR(INDEX('Player Board'!$C$4:$C$163,MATCH(E50,'Player Board'!$B$4:$B$163,0)),"")</f>
        <v/>
      </c>
      <c r="G50" s="35" t="str">
        <f t="shared" si="1"/>
        <v>No</v>
      </c>
      <c r="H50" s="35" t="str">
        <f>IFERROR(INDEX('Player Board'!$H$4:$H$163,MATCH(E50,'Player Board'!$B$4:$B$163,0)),"")</f>
        <v/>
      </c>
      <c r="I50" s="34" t="str">
        <f>IF(E50="","",IFERROR(A50-INDEX('Player Board'!$Q$4:$Q$163,MATCH(E50,'Player Board'!$B$4:$B$163,0)),""))</f>
        <v/>
      </c>
      <c r="J50" s="35"/>
      <c r="K50" s="35" t="str">
        <f>IF(OR(D50&lt;&gt;"Noah",E50=""),"",F50&amp;"-"&amp;COUNTIFS($D$4:D50,"Noah",$F$4:F50,F50,$E$4:E50,"&lt;&gt;"))</f>
        <v/>
      </c>
      <c r="L50" s="35"/>
      <c r="M50" s="35"/>
      <c r="N50" s="35"/>
      <c r="O50" s="35"/>
      <c r="P50" s="35"/>
      <c r="Q50" s="35"/>
      <c r="R50" s="94">
        <f>IF(E50="",0,IFERROR(IF(INDEX('Player Board'!$H$4:$H$163,MATCH(E50,'Player Board'!$B$4:$B$163,0))&lt;=20,4.5,IF(INDEX('Player Board'!$H$4:$H$163,MATCH(E50,'Player Board'!$B$4:$B$163,0))&lt;=40,3.5,IF(INDEX('Player Board'!$H$4:$H$163,MATCH(E50,'Player Board'!$B$4:$B$163,0))&lt;=70,2.5,IF(INDEX('Player Board'!$H$4:$H$163,MATCH(E50,'Player Board'!$B$4:$B$163,0))&lt;=110,1.5,1)))),1))</f>
        <v>0</v>
      </c>
      <c r="S50" s="2"/>
      <c r="T50" s="2"/>
      <c r="U50" s="2"/>
      <c r="V50" s="2"/>
      <c r="W50" s="2"/>
      <c r="X50" s="2"/>
      <c r="Y50" s="2"/>
      <c r="Z50" s="2"/>
    </row>
    <row r="51" spans="1:26" ht="11" customHeight="1">
      <c r="A51" s="35">
        <v>48</v>
      </c>
      <c r="B51" s="35">
        <v>6</v>
      </c>
      <c r="C51" s="35">
        <v>8</v>
      </c>
      <c r="D51" s="35"/>
      <c r="E51" s="35"/>
      <c r="F51" s="35" t="str">
        <f>IFERROR(INDEX('Player Board'!$C$4:$C$163,MATCH(E51,'Player Board'!$B$4:$B$163,0)),"")</f>
        <v/>
      </c>
      <c r="G51" s="35" t="str">
        <f t="shared" si="1"/>
        <v>No</v>
      </c>
      <c r="H51" s="35" t="str">
        <f>IFERROR(INDEX('Player Board'!$H$4:$H$163,MATCH(E51,'Player Board'!$B$4:$B$163,0)),"")</f>
        <v/>
      </c>
      <c r="I51" s="34" t="str">
        <f>IF(E51="","",IFERROR(A51-INDEX('Player Board'!$Q$4:$Q$163,MATCH(E51,'Player Board'!$B$4:$B$163,0)),""))</f>
        <v/>
      </c>
      <c r="J51" s="35"/>
      <c r="K51" s="35" t="str">
        <f>IF(OR(D51&lt;&gt;"Noah",E51=""),"",F51&amp;"-"&amp;COUNTIFS($D$4:D51,"Noah",$F$4:F51,F51,$E$4:E51,"&lt;&gt;"))</f>
        <v/>
      </c>
      <c r="L51" s="35"/>
      <c r="M51" s="35"/>
      <c r="N51" s="35"/>
      <c r="O51" s="35"/>
      <c r="P51" s="35"/>
      <c r="Q51" s="35"/>
      <c r="R51" s="94">
        <f>IF(E51="",0,IFERROR(IF(INDEX('Player Board'!$H$4:$H$163,MATCH(E51,'Player Board'!$B$4:$B$163,0))&lt;=20,4.5,IF(INDEX('Player Board'!$H$4:$H$163,MATCH(E51,'Player Board'!$B$4:$B$163,0))&lt;=40,3.5,IF(INDEX('Player Board'!$H$4:$H$163,MATCH(E51,'Player Board'!$B$4:$B$163,0))&lt;=70,2.5,IF(INDEX('Player Board'!$H$4:$H$163,MATCH(E51,'Player Board'!$B$4:$B$163,0))&lt;=110,1.5,1)))),1))</f>
        <v>0</v>
      </c>
      <c r="S51" s="2"/>
      <c r="T51" s="2"/>
      <c r="U51" s="2"/>
      <c r="V51" s="2"/>
      <c r="W51" s="2"/>
      <c r="X51" s="2"/>
      <c r="Y51" s="2"/>
      <c r="Z51" s="2"/>
    </row>
    <row r="52" spans="1:26" ht="11" customHeight="1">
      <c r="A52" s="35">
        <v>49</v>
      </c>
      <c r="B52" s="35">
        <v>7</v>
      </c>
      <c r="C52" s="35">
        <v>1</v>
      </c>
      <c r="D52" s="35"/>
      <c r="E52" s="35"/>
      <c r="F52" s="35" t="str">
        <f>IFERROR(INDEX('Player Board'!$C$4:$C$163,MATCH(E52,'Player Board'!$B$4:$B$163,0)),"")</f>
        <v/>
      </c>
      <c r="G52" s="35" t="str">
        <f t="shared" si="1"/>
        <v>No</v>
      </c>
      <c r="H52" s="35" t="str">
        <f>IFERROR(INDEX('Player Board'!$H$4:$H$163,MATCH(E52,'Player Board'!$B$4:$B$163,0)),"")</f>
        <v/>
      </c>
      <c r="I52" s="34" t="str">
        <f>IF(E52="","",IFERROR(A52-INDEX('Player Board'!$Q$4:$Q$163,MATCH(E52,'Player Board'!$B$4:$B$163,0)),""))</f>
        <v/>
      </c>
      <c r="J52" s="35"/>
      <c r="K52" s="35" t="str">
        <f>IF(OR(D52&lt;&gt;"Noah",E52=""),"",F52&amp;"-"&amp;COUNTIFS($D$4:D52,"Noah",$F$4:F52,F52,$E$4:E52,"&lt;&gt;"))</f>
        <v/>
      </c>
      <c r="L52" s="35"/>
      <c r="M52" s="35"/>
      <c r="N52" s="35"/>
      <c r="O52" s="35"/>
      <c r="P52" s="35"/>
      <c r="Q52" s="35"/>
      <c r="R52" s="94">
        <f>IF(E52="",0,IFERROR(IF(INDEX('Player Board'!$H$4:$H$163,MATCH(E52,'Player Board'!$B$4:$B$163,0))&lt;=20,4.5,IF(INDEX('Player Board'!$H$4:$H$163,MATCH(E52,'Player Board'!$B$4:$B$163,0))&lt;=40,3.5,IF(INDEX('Player Board'!$H$4:$H$163,MATCH(E52,'Player Board'!$B$4:$B$163,0))&lt;=70,2.5,IF(INDEX('Player Board'!$H$4:$H$163,MATCH(E52,'Player Board'!$B$4:$B$163,0))&lt;=110,1.5,1)))),1))</f>
        <v>0</v>
      </c>
      <c r="S52" s="2"/>
      <c r="T52" s="2"/>
      <c r="U52" s="2"/>
      <c r="V52" s="2"/>
      <c r="W52" s="2"/>
      <c r="X52" s="2"/>
      <c r="Y52" s="2"/>
      <c r="Z52" s="2"/>
    </row>
    <row r="53" spans="1:26" ht="11" customHeight="1">
      <c r="A53" s="35">
        <v>50</v>
      </c>
      <c r="B53" s="35">
        <v>7</v>
      </c>
      <c r="C53" s="35">
        <v>2</v>
      </c>
      <c r="D53" s="35"/>
      <c r="E53" s="35"/>
      <c r="F53" s="35" t="str">
        <f>IFERROR(INDEX('Player Board'!$C$4:$C$163,MATCH(E53,'Player Board'!$B$4:$B$163,0)),"")</f>
        <v/>
      </c>
      <c r="G53" s="35" t="str">
        <f t="shared" si="1"/>
        <v>No</v>
      </c>
      <c r="H53" s="35" t="str">
        <f>IFERROR(INDEX('Player Board'!$H$4:$H$163,MATCH(E53,'Player Board'!$B$4:$B$163,0)),"")</f>
        <v/>
      </c>
      <c r="I53" s="34" t="str">
        <f>IF(E53="","",IFERROR(A53-INDEX('Player Board'!$Q$4:$Q$163,MATCH(E53,'Player Board'!$B$4:$B$163,0)),""))</f>
        <v/>
      </c>
      <c r="J53" s="35"/>
      <c r="K53" s="35" t="str">
        <f>IF(OR(D53&lt;&gt;"Noah",E53=""),"",F53&amp;"-"&amp;COUNTIFS($D$4:D53,"Noah",$F$4:F53,F53,$E$4:E53,"&lt;&gt;"))</f>
        <v/>
      </c>
      <c r="L53" s="35"/>
      <c r="M53" s="35"/>
      <c r="N53" s="35"/>
      <c r="O53" s="35"/>
      <c r="P53" s="35"/>
      <c r="Q53" s="35"/>
      <c r="R53" s="94">
        <f>IF(E53="",0,IFERROR(IF(INDEX('Player Board'!$H$4:$H$163,MATCH(E53,'Player Board'!$B$4:$B$163,0))&lt;=20,4.5,IF(INDEX('Player Board'!$H$4:$H$163,MATCH(E53,'Player Board'!$B$4:$B$163,0))&lt;=40,3.5,IF(INDEX('Player Board'!$H$4:$H$163,MATCH(E53,'Player Board'!$B$4:$B$163,0))&lt;=70,2.5,IF(INDEX('Player Board'!$H$4:$H$163,MATCH(E53,'Player Board'!$B$4:$B$163,0))&lt;=110,1.5,1)))),1))</f>
        <v>0</v>
      </c>
      <c r="S53" s="2"/>
      <c r="T53" s="2"/>
      <c r="U53" s="2"/>
      <c r="V53" s="2"/>
      <c r="W53" s="2"/>
      <c r="X53" s="2"/>
      <c r="Y53" s="2"/>
      <c r="Z53" s="2"/>
    </row>
    <row r="54" spans="1:26" ht="11" customHeight="1">
      <c r="A54" s="35">
        <v>51</v>
      </c>
      <c r="B54" s="35">
        <v>7</v>
      </c>
      <c r="C54" s="35">
        <v>3</v>
      </c>
      <c r="D54" s="35"/>
      <c r="E54" s="35"/>
      <c r="F54" s="35" t="str">
        <f>IFERROR(INDEX('Player Board'!$C$4:$C$163,MATCH(E54,'Player Board'!$B$4:$B$163,0)),"")</f>
        <v/>
      </c>
      <c r="G54" s="35" t="str">
        <f t="shared" si="1"/>
        <v>No</v>
      </c>
      <c r="H54" s="35" t="str">
        <f>IFERROR(INDEX('Player Board'!$H$4:$H$163,MATCH(E54,'Player Board'!$B$4:$B$163,0)),"")</f>
        <v/>
      </c>
      <c r="I54" s="34" t="str">
        <f>IF(E54="","",IFERROR(A54-INDEX('Player Board'!$Q$4:$Q$163,MATCH(E54,'Player Board'!$B$4:$B$163,0)),""))</f>
        <v/>
      </c>
      <c r="J54" s="35"/>
      <c r="K54" s="35" t="str">
        <f>IF(OR(D54&lt;&gt;"Noah",E54=""),"",F54&amp;"-"&amp;COUNTIFS($D$4:D54,"Noah",$F$4:F54,F54,$E$4:E54,"&lt;&gt;"))</f>
        <v/>
      </c>
      <c r="L54" s="35"/>
      <c r="M54" s="35"/>
      <c r="N54" s="35"/>
      <c r="O54" s="35"/>
      <c r="P54" s="35"/>
      <c r="Q54" s="35"/>
      <c r="R54" s="94">
        <f>IF(E54="",0,IFERROR(IF(INDEX('Player Board'!$H$4:$H$163,MATCH(E54,'Player Board'!$B$4:$B$163,0))&lt;=20,4.5,IF(INDEX('Player Board'!$H$4:$H$163,MATCH(E54,'Player Board'!$B$4:$B$163,0))&lt;=40,3.5,IF(INDEX('Player Board'!$H$4:$H$163,MATCH(E54,'Player Board'!$B$4:$B$163,0))&lt;=70,2.5,IF(INDEX('Player Board'!$H$4:$H$163,MATCH(E54,'Player Board'!$B$4:$B$163,0))&lt;=110,1.5,1)))),1))</f>
        <v>0</v>
      </c>
      <c r="S54" s="2"/>
      <c r="T54" s="2"/>
      <c r="U54" s="2"/>
      <c r="V54" s="2"/>
      <c r="W54" s="2"/>
      <c r="X54" s="2"/>
      <c r="Y54" s="2"/>
      <c r="Z54" s="2"/>
    </row>
    <row r="55" spans="1:26" ht="11" customHeight="1">
      <c r="A55" s="35">
        <v>52</v>
      </c>
      <c r="B55" s="35">
        <v>7</v>
      </c>
      <c r="C55" s="35">
        <v>4</v>
      </c>
      <c r="D55" s="35"/>
      <c r="E55" s="35"/>
      <c r="F55" s="35" t="str">
        <f>IFERROR(INDEX('Player Board'!$C$4:$C$163,MATCH(E55,'Player Board'!$B$4:$B$163,0)),"")</f>
        <v/>
      </c>
      <c r="G55" s="35" t="str">
        <f t="shared" si="1"/>
        <v>No</v>
      </c>
      <c r="H55" s="35" t="str">
        <f>IFERROR(INDEX('Player Board'!$H$4:$H$163,MATCH(E55,'Player Board'!$B$4:$B$163,0)),"")</f>
        <v/>
      </c>
      <c r="I55" s="34" t="str">
        <f>IF(E55="","",IFERROR(A55-INDEX('Player Board'!$Q$4:$Q$163,MATCH(E55,'Player Board'!$B$4:$B$163,0)),""))</f>
        <v/>
      </c>
      <c r="J55" s="35"/>
      <c r="K55" s="35" t="str">
        <f>IF(OR(D55&lt;&gt;"Noah",E55=""),"",F55&amp;"-"&amp;COUNTIFS($D$4:D55,"Noah",$F$4:F55,F55,$E$4:E55,"&lt;&gt;"))</f>
        <v/>
      </c>
      <c r="L55" s="35"/>
      <c r="M55" s="35"/>
      <c r="N55" s="35"/>
      <c r="O55" s="35"/>
      <c r="P55" s="35"/>
      <c r="Q55" s="35"/>
      <c r="R55" s="94">
        <f>IF(E55="",0,IFERROR(IF(INDEX('Player Board'!$H$4:$H$163,MATCH(E55,'Player Board'!$B$4:$B$163,0))&lt;=20,4.5,IF(INDEX('Player Board'!$H$4:$H$163,MATCH(E55,'Player Board'!$B$4:$B$163,0))&lt;=40,3.5,IF(INDEX('Player Board'!$H$4:$H$163,MATCH(E55,'Player Board'!$B$4:$B$163,0))&lt;=70,2.5,IF(INDEX('Player Board'!$H$4:$H$163,MATCH(E55,'Player Board'!$B$4:$B$163,0))&lt;=110,1.5,1)))),1))</f>
        <v>0</v>
      </c>
      <c r="S55" s="2"/>
      <c r="T55" s="2"/>
      <c r="U55" s="2"/>
      <c r="V55" s="2"/>
      <c r="W55" s="2"/>
      <c r="X55" s="2"/>
      <c r="Y55" s="2"/>
      <c r="Z55" s="2"/>
    </row>
    <row r="56" spans="1:26" ht="11" customHeight="1">
      <c r="A56" s="35">
        <v>53</v>
      </c>
      <c r="B56" s="35">
        <v>7</v>
      </c>
      <c r="C56" s="35">
        <v>5</v>
      </c>
      <c r="D56" s="35" t="s">
        <v>1</v>
      </c>
      <c r="E56" s="35"/>
      <c r="F56" s="35" t="str">
        <f>IFERROR(INDEX('Player Board'!$C$4:$C$163,MATCH(E56,'Player Board'!$B$4:$B$163,0)),"")</f>
        <v/>
      </c>
      <c r="G56" s="35" t="str">
        <f t="shared" si="1"/>
        <v>Yes</v>
      </c>
      <c r="H56" s="35" t="str">
        <f>IFERROR(INDEX('Player Board'!$H$4:$H$163,MATCH(E56,'Player Board'!$B$4:$B$163,0)),"")</f>
        <v/>
      </c>
      <c r="I56" s="34" t="str">
        <f>IF(E56="","",IFERROR(A56-INDEX('Player Board'!$Q$4:$Q$163,MATCH(E56,'Player Board'!$B$4:$B$163,0)),""))</f>
        <v/>
      </c>
      <c r="J56" s="35"/>
      <c r="K56" s="35" t="str">
        <f>IF(OR(D56&lt;&gt;"Noah",E56=""),"",F56&amp;"-"&amp;COUNTIFS($D$4:D56,"Noah",$F$4:F56,F56,$E$4:E56,"&lt;&gt;"))</f>
        <v/>
      </c>
      <c r="L56" s="35"/>
      <c r="M56" s="35"/>
      <c r="N56" s="35"/>
      <c r="O56" s="35"/>
      <c r="P56" s="35"/>
      <c r="Q56" s="35"/>
      <c r="R56" s="94">
        <f>IF(E56="",0,IFERROR(IF(INDEX('Player Board'!$H$4:$H$163,MATCH(E56,'Player Board'!$B$4:$B$163,0))&lt;=20,4.5,IF(INDEX('Player Board'!$H$4:$H$163,MATCH(E56,'Player Board'!$B$4:$B$163,0))&lt;=40,3.5,IF(INDEX('Player Board'!$H$4:$H$163,MATCH(E56,'Player Board'!$B$4:$B$163,0))&lt;=70,2.5,IF(INDEX('Player Board'!$H$4:$H$163,MATCH(E56,'Player Board'!$B$4:$B$163,0))&lt;=110,1.5,1)))),1))</f>
        <v>0</v>
      </c>
      <c r="S56" s="2"/>
      <c r="T56" s="2"/>
      <c r="U56" s="2"/>
      <c r="V56" s="2"/>
      <c r="W56" s="2"/>
      <c r="X56" s="2"/>
      <c r="Y56" s="2"/>
      <c r="Z56" s="2"/>
    </row>
    <row r="57" spans="1:26" ht="11" customHeight="1">
      <c r="A57" s="35">
        <v>54</v>
      </c>
      <c r="B57" s="35">
        <v>7</v>
      </c>
      <c r="C57" s="35">
        <v>6</v>
      </c>
      <c r="D57" s="35"/>
      <c r="E57" s="35"/>
      <c r="F57" s="35" t="str">
        <f>IFERROR(INDEX('Player Board'!$C$4:$C$163,MATCH(E57,'Player Board'!$B$4:$B$163,0)),"")</f>
        <v/>
      </c>
      <c r="G57" s="35" t="str">
        <f t="shared" si="1"/>
        <v>No</v>
      </c>
      <c r="H57" s="35" t="str">
        <f>IFERROR(INDEX('Player Board'!$H$4:$H$163,MATCH(E57,'Player Board'!$B$4:$B$163,0)),"")</f>
        <v/>
      </c>
      <c r="I57" s="34" t="str">
        <f>IF(E57="","",IFERROR(A57-INDEX('Player Board'!$Q$4:$Q$163,MATCH(E57,'Player Board'!$B$4:$B$163,0)),""))</f>
        <v/>
      </c>
      <c r="J57" s="35"/>
      <c r="K57" s="35" t="str">
        <f>IF(OR(D57&lt;&gt;"Noah",E57=""),"",F57&amp;"-"&amp;COUNTIFS($D$4:D57,"Noah",$F$4:F57,F57,$E$4:E57,"&lt;&gt;"))</f>
        <v/>
      </c>
      <c r="L57" s="35"/>
      <c r="M57" s="35"/>
      <c r="N57" s="35"/>
      <c r="O57" s="35"/>
      <c r="P57" s="35"/>
      <c r="Q57" s="35"/>
      <c r="R57" s="94">
        <f>IF(E57="",0,IFERROR(IF(INDEX('Player Board'!$H$4:$H$163,MATCH(E57,'Player Board'!$B$4:$B$163,0))&lt;=20,4.5,IF(INDEX('Player Board'!$H$4:$H$163,MATCH(E57,'Player Board'!$B$4:$B$163,0))&lt;=40,3.5,IF(INDEX('Player Board'!$H$4:$H$163,MATCH(E57,'Player Board'!$B$4:$B$163,0))&lt;=70,2.5,IF(INDEX('Player Board'!$H$4:$H$163,MATCH(E57,'Player Board'!$B$4:$B$163,0))&lt;=110,1.5,1)))),1))</f>
        <v>0</v>
      </c>
      <c r="S57" s="2"/>
      <c r="T57" s="2"/>
      <c r="U57" s="2"/>
      <c r="V57" s="2"/>
      <c r="W57" s="2"/>
      <c r="X57" s="2"/>
      <c r="Y57" s="2"/>
      <c r="Z57" s="2"/>
    </row>
    <row r="58" spans="1:26" ht="11" customHeight="1">
      <c r="A58" s="35">
        <v>55</v>
      </c>
      <c r="B58" s="35">
        <v>7</v>
      </c>
      <c r="C58" s="35">
        <v>7</v>
      </c>
      <c r="D58" s="35"/>
      <c r="E58" s="35"/>
      <c r="F58" s="35" t="str">
        <f>IFERROR(INDEX('Player Board'!$C$4:$C$163,MATCH(E58,'Player Board'!$B$4:$B$163,0)),"")</f>
        <v/>
      </c>
      <c r="G58" s="35" t="str">
        <f t="shared" si="1"/>
        <v>No</v>
      </c>
      <c r="H58" s="35" t="str">
        <f>IFERROR(INDEX('Player Board'!$H$4:$H$163,MATCH(E58,'Player Board'!$B$4:$B$163,0)),"")</f>
        <v/>
      </c>
      <c r="I58" s="34" t="str">
        <f>IF(E58="","",IFERROR(A58-INDEX('Player Board'!$Q$4:$Q$163,MATCH(E58,'Player Board'!$B$4:$B$163,0)),""))</f>
        <v/>
      </c>
      <c r="J58" s="35"/>
      <c r="K58" s="35" t="str">
        <f>IF(OR(D58&lt;&gt;"Noah",E58=""),"",F58&amp;"-"&amp;COUNTIFS($D$4:D58,"Noah",$F$4:F58,F58,$E$4:E58,"&lt;&gt;"))</f>
        <v/>
      </c>
      <c r="L58" s="35"/>
      <c r="M58" s="35"/>
      <c r="N58" s="35"/>
      <c r="O58" s="35"/>
      <c r="P58" s="35"/>
      <c r="Q58" s="35"/>
      <c r="R58" s="94">
        <f>IF(E58="",0,IFERROR(IF(INDEX('Player Board'!$H$4:$H$163,MATCH(E58,'Player Board'!$B$4:$B$163,0))&lt;=20,4.5,IF(INDEX('Player Board'!$H$4:$H$163,MATCH(E58,'Player Board'!$B$4:$B$163,0))&lt;=40,3.5,IF(INDEX('Player Board'!$H$4:$H$163,MATCH(E58,'Player Board'!$B$4:$B$163,0))&lt;=70,2.5,IF(INDEX('Player Board'!$H$4:$H$163,MATCH(E58,'Player Board'!$B$4:$B$163,0))&lt;=110,1.5,1)))),1))</f>
        <v>0</v>
      </c>
      <c r="S58" s="2"/>
      <c r="T58" s="2"/>
      <c r="U58" s="2"/>
      <c r="V58" s="2"/>
      <c r="W58" s="2"/>
      <c r="X58" s="2"/>
      <c r="Y58" s="2"/>
      <c r="Z58" s="2"/>
    </row>
    <row r="59" spans="1:26" ht="11" customHeight="1">
      <c r="A59" s="35">
        <v>56</v>
      </c>
      <c r="B59" s="35">
        <v>7</v>
      </c>
      <c r="C59" s="35">
        <v>8</v>
      </c>
      <c r="D59" s="35" t="s">
        <v>1</v>
      </c>
      <c r="E59" s="35"/>
      <c r="F59" s="35" t="str">
        <f>IFERROR(INDEX('Player Board'!$C$4:$C$163,MATCH(E59,'Player Board'!$B$4:$B$163,0)),"")</f>
        <v/>
      </c>
      <c r="G59" s="35" t="str">
        <f t="shared" si="1"/>
        <v>Yes</v>
      </c>
      <c r="H59" s="35" t="str">
        <f>IFERROR(INDEX('Player Board'!$H$4:$H$163,MATCH(E59,'Player Board'!$B$4:$B$163,0)),"")</f>
        <v/>
      </c>
      <c r="I59" s="34" t="str">
        <f>IF(E59="","",IFERROR(A59-INDEX('Player Board'!$Q$4:$Q$163,MATCH(E59,'Player Board'!$B$4:$B$163,0)),""))</f>
        <v/>
      </c>
      <c r="J59" s="35"/>
      <c r="K59" s="35" t="str">
        <f>IF(OR(D59&lt;&gt;"Noah",E59=""),"",F59&amp;"-"&amp;COUNTIFS($D$4:D59,"Noah",$F$4:F59,F59,$E$4:E59,"&lt;&gt;"))</f>
        <v/>
      </c>
      <c r="L59" s="35"/>
      <c r="M59" s="35"/>
      <c r="N59" s="35"/>
      <c r="O59" s="35"/>
      <c r="P59" s="35"/>
      <c r="Q59" s="35"/>
      <c r="R59" s="94">
        <f>IF(E59="",0,IFERROR(IF(INDEX('Player Board'!$H$4:$H$163,MATCH(E59,'Player Board'!$B$4:$B$163,0))&lt;=20,4.5,IF(INDEX('Player Board'!$H$4:$H$163,MATCH(E59,'Player Board'!$B$4:$B$163,0))&lt;=40,3.5,IF(INDEX('Player Board'!$H$4:$H$163,MATCH(E59,'Player Board'!$B$4:$B$163,0))&lt;=70,2.5,IF(INDEX('Player Board'!$H$4:$H$163,MATCH(E59,'Player Board'!$B$4:$B$163,0))&lt;=110,1.5,1)))),1))</f>
        <v>0</v>
      </c>
      <c r="S59" s="2"/>
      <c r="T59" s="2"/>
      <c r="U59" s="2"/>
      <c r="V59" s="2"/>
      <c r="W59" s="2"/>
      <c r="X59" s="2"/>
      <c r="Y59" s="2"/>
      <c r="Z59" s="2"/>
    </row>
    <row r="60" spans="1:26" ht="11" customHeight="1">
      <c r="A60" s="35">
        <v>57</v>
      </c>
      <c r="B60" s="35">
        <v>8</v>
      </c>
      <c r="C60" s="35">
        <v>1</v>
      </c>
      <c r="D60" s="35"/>
      <c r="E60" s="35"/>
      <c r="F60" s="35" t="str">
        <f>IFERROR(INDEX('Player Board'!$C$4:$C$163,MATCH(E60,'Player Board'!$B$4:$B$163,0)),"")</f>
        <v/>
      </c>
      <c r="G60" s="35" t="str">
        <f t="shared" si="1"/>
        <v>No</v>
      </c>
      <c r="H60" s="35" t="str">
        <f>IFERROR(INDEX('Player Board'!$H$4:$H$163,MATCH(E60,'Player Board'!$B$4:$B$163,0)),"")</f>
        <v/>
      </c>
      <c r="I60" s="34" t="str">
        <f>IF(E60="","",IFERROR(A60-INDEX('Player Board'!$Q$4:$Q$163,MATCH(E60,'Player Board'!$B$4:$B$163,0)),""))</f>
        <v/>
      </c>
      <c r="J60" s="35"/>
      <c r="K60" s="35" t="str">
        <f>IF(OR(D60&lt;&gt;"Noah",E60=""),"",F60&amp;"-"&amp;COUNTIFS($D$4:D60,"Noah",$F$4:F60,F60,$E$4:E60,"&lt;&gt;"))</f>
        <v/>
      </c>
      <c r="L60" s="35"/>
      <c r="M60" s="35"/>
      <c r="N60" s="35"/>
      <c r="O60" s="35"/>
      <c r="P60" s="35"/>
      <c r="Q60" s="35"/>
      <c r="R60" s="94">
        <f>IF(E60="",0,IFERROR(IF(INDEX('Player Board'!$H$4:$H$163,MATCH(E60,'Player Board'!$B$4:$B$163,0))&lt;=20,4.5,IF(INDEX('Player Board'!$H$4:$H$163,MATCH(E60,'Player Board'!$B$4:$B$163,0))&lt;=40,3.5,IF(INDEX('Player Board'!$H$4:$H$163,MATCH(E60,'Player Board'!$B$4:$B$163,0))&lt;=70,2.5,IF(INDEX('Player Board'!$H$4:$H$163,MATCH(E60,'Player Board'!$B$4:$B$163,0))&lt;=110,1.5,1)))),1))</f>
        <v>0</v>
      </c>
      <c r="S60" s="2"/>
      <c r="T60" s="2"/>
      <c r="U60" s="2"/>
      <c r="V60" s="2"/>
      <c r="W60" s="2"/>
      <c r="X60" s="2"/>
      <c r="Y60" s="2"/>
      <c r="Z60" s="2"/>
    </row>
    <row r="61" spans="1:26" ht="11" customHeight="1">
      <c r="A61" s="35">
        <v>58</v>
      </c>
      <c r="B61" s="35">
        <v>8</v>
      </c>
      <c r="C61" s="35">
        <v>2</v>
      </c>
      <c r="D61" s="35"/>
      <c r="E61" s="35"/>
      <c r="F61" s="35" t="str">
        <f>IFERROR(INDEX('Player Board'!$C$4:$C$163,MATCH(E61,'Player Board'!$B$4:$B$163,0)),"")</f>
        <v/>
      </c>
      <c r="G61" s="35" t="str">
        <f t="shared" si="1"/>
        <v>No</v>
      </c>
      <c r="H61" s="35" t="str">
        <f>IFERROR(INDEX('Player Board'!$H$4:$H$163,MATCH(E61,'Player Board'!$B$4:$B$163,0)),"")</f>
        <v/>
      </c>
      <c r="I61" s="34" t="str">
        <f>IF(E61="","",IFERROR(A61-INDEX('Player Board'!$Q$4:$Q$163,MATCH(E61,'Player Board'!$B$4:$B$163,0)),""))</f>
        <v/>
      </c>
      <c r="J61" s="35"/>
      <c r="K61" s="35" t="str">
        <f>IF(OR(D61&lt;&gt;"Noah",E61=""),"",F61&amp;"-"&amp;COUNTIFS($D$4:D61,"Noah",$F$4:F61,F61,$E$4:E61,"&lt;&gt;"))</f>
        <v/>
      </c>
      <c r="L61" s="35"/>
      <c r="M61" s="35"/>
      <c r="N61" s="35"/>
      <c r="O61" s="35"/>
      <c r="P61" s="35"/>
      <c r="Q61" s="35"/>
      <c r="R61" s="94">
        <f>IF(E61="",0,IFERROR(IF(INDEX('Player Board'!$H$4:$H$163,MATCH(E61,'Player Board'!$B$4:$B$163,0))&lt;=20,4.5,IF(INDEX('Player Board'!$H$4:$H$163,MATCH(E61,'Player Board'!$B$4:$B$163,0))&lt;=40,3.5,IF(INDEX('Player Board'!$H$4:$H$163,MATCH(E61,'Player Board'!$B$4:$B$163,0))&lt;=70,2.5,IF(INDEX('Player Board'!$H$4:$H$163,MATCH(E61,'Player Board'!$B$4:$B$163,0))&lt;=110,1.5,1)))),1))</f>
        <v>0</v>
      </c>
      <c r="S61" s="2"/>
      <c r="T61" s="2"/>
      <c r="U61" s="2"/>
      <c r="V61" s="2"/>
      <c r="W61" s="2"/>
      <c r="X61" s="2"/>
      <c r="Y61" s="2"/>
      <c r="Z61" s="2"/>
    </row>
    <row r="62" spans="1:26" ht="11" customHeight="1">
      <c r="A62" s="35">
        <v>59</v>
      </c>
      <c r="B62" s="35">
        <v>8</v>
      </c>
      <c r="C62" s="35">
        <v>3</v>
      </c>
      <c r="D62" s="35"/>
      <c r="E62" s="35"/>
      <c r="F62" s="35" t="str">
        <f>IFERROR(INDEX('Player Board'!$C$4:$C$163,MATCH(E62,'Player Board'!$B$4:$B$163,0)),"")</f>
        <v/>
      </c>
      <c r="G62" s="35" t="str">
        <f t="shared" si="1"/>
        <v>No</v>
      </c>
      <c r="H62" s="35" t="str">
        <f>IFERROR(INDEX('Player Board'!$H$4:$H$163,MATCH(E62,'Player Board'!$B$4:$B$163,0)),"")</f>
        <v/>
      </c>
      <c r="I62" s="34" t="str">
        <f>IF(E62="","",IFERROR(A62-INDEX('Player Board'!$Q$4:$Q$163,MATCH(E62,'Player Board'!$B$4:$B$163,0)),""))</f>
        <v/>
      </c>
      <c r="J62" s="35"/>
      <c r="K62" s="35" t="str">
        <f>IF(OR(D62&lt;&gt;"Noah",E62=""),"",F62&amp;"-"&amp;COUNTIFS($D$4:D62,"Noah",$F$4:F62,F62,$E$4:E62,"&lt;&gt;"))</f>
        <v/>
      </c>
      <c r="L62" s="35"/>
      <c r="M62" s="35"/>
      <c r="N62" s="35"/>
      <c r="O62" s="35"/>
      <c r="P62" s="35"/>
      <c r="Q62" s="35"/>
      <c r="R62" s="94">
        <f>IF(E62="",0,IFERROR(IF(INDEX('Player Board'!$H$4:$H$163,MATCH(E62,'Player Board'!$B$4:$B$163,0))&lt;=20,4.5,IF(INDEX('Player Board'!$H$4:$H$163,MATCH(E62,'Player Board'!$B$4:$B$163,0))&lt;=40,3.5,IF(INDEX('Player Board'!$H$4:$H$163,MATCH(E62,'Player Board'!$B$4:$B$163,0))&lt;=70,2.5,IF(INDEX('Player Board'!$H$4:$H$163,MATCH(E62,'Player Board'!$B$4:$B$163,0))&lt;=110,1.5,1)))),1))</f>
        <v>0</v>
      </c>
      <c r="S62" s="2"/>
      <c r="T62" s="2"/>
      <c r="U62" s="2"/>
      <c r="V62" s="2"/>
      <c r="W62" s="2"/>
      <c r="X62" s="2"/>
      <c r="Y62" s="2"/>
      <c r="Z62" s="2"/>
    </row>
    <row r="63" spans="1:26" ht="11" customHeight="1">
      <c r="A63" s="35">
        <v>60</v>
      </c>
      <c r="B63" s="35">
        <v>8</v>
      </c>
      <c r="C63" s="35">
        <v>4</v>
      </c>
      <c r="D63" s="35" t="s">
        <v>1</v>
      </c>
      <c r="E63" s="35"/>
      <c r="F63" s="35" t="str">
        <f>IFERROR(INDEX('Player Board'!$C$4:$C$163,MATCH(E63,'Player Board'!$B$4:$B$163,0)),"")</f>
        <v/>
      </c>
      <c r="G63" s="35" t="str">
        <f t="shared" si="1"/>
        <v>Yes</v>
      </c>
      <c r="H63" s="35" t="str">
        <f>IFERROR(INDEX('Player Board'!$H$4:$H$163,MATCH(E63,'Player Board'!$B$4:$B$163,0)),"")</f>
        <v/>
      </c>
      <c r="I63" s="34" t="str">
        <f>IF(E63="","",IFERROR(A63-INDEX('Player Board'!$Q$4:$Q$163,MATCH(E63,'Player Board'!$B$4:$B$163,0)),""))</f>
        <v/>
      </c>
      <c r="J63" s="35"/>
      <c r="K63" s="35" t="str">
        <f>IF(OR(D63&lt;&gt;"Noah",E63=""),"",F63&amp;"-"&amp;COUNTIFS($D$4:D63,"Noah",$F$4:F63,F63,$E$4:E63,"&lt;&gt;"))</f>
        <v/>
      </c>
      <c r="L63" s="35"/>
      <c r="M63" s="35"/>
      <c r="N63" s="35"/>
      <c r="O63" s="35"/>
      <c r="P63" s="35"/>
      <c r="Q63" s="35"/>
      <c r="R63" s="94">
        <f>IF(E63="",0,IFERROR(IF(INDEX('Player Board'!$H$4:$H$163,MATCH(E63,'Player Board'!$B$4:$B$163,0))&lt;=20,4.5,IF(INDEX('Player Board'!$H$4:$H$163,MATCH(E63,'Player Board'!$B$4:$B$163,0))&lt;=40,3.5,IF(INDEX('Player Board'!$H$4:$H$163,MATCH(E63,'Player Board'!$B$4:$B$163,0))&lt;=70,2.5,IF(INDEX('Player Board'!$H$4:$H$163,MATCH(E63,'Player Board'!$B$4:$B$163,0))&lt;=110,1.5,1)))),1))</f>
        <v>0</v>
      </c>
      <c r="S63" s="2"/>
      <c r="T63" s="2"/>
      <c r="U63" s="2"/>
      <c r="V63" s="2"/>
      <c r="W63" s="2"/>
      <c r="X63" s="2"/>
      <c r="Y63" s="2"/>
      <c r="Z63" s="2"/>
    </row>
    <row r="64" spans="1:26" ht="11" customHeight="1">
      <c r="A64" s="35">
        <v>61</v>
      </c>
      <c r="B64" s="35">
        <v>8</v>
      </c>
      <c r="C64" s="35">
        <v>5</v>
      </c>
      <c r="D64" s="35"/>
      <c r="E64" s="35"/>
      <c r="F64" s="35" t="str">
        <f>IFERROR(INDEX('Player Board'!$C$4:$C$163,MATCH(E64,'Player Board'!$B$4:$B$163,0)),"")</f>
        <v/>
      </c>
      <c r="G64" s="35" t="str">
        <f t="shared" si="1"/>
        <v>No</v>
      </c>
      <c r="H64" s="35" t="str">
        <f>IFERROR(INDEX('Player Board'!$H$4:$H$163,MATCH(E64,'Player Board'!$B$4:$B$163,0)),"")</f>
        <v/>
      </c>
      <c r="I64" s="34" t="str">
        <f>IF(E64="","",IFERROR(A64-INDEX('Player Board'!$Q$4:$Q$163,MATCH(E64,'Player Board'!$B$4:$B$163,0)),""))</f>
        <v/>
      </c>
      <c r="J64" s="35"/>
      <c r="K64" s="35" t="str">
        <f>IF(OR(D64&lt;&gt;"Noah",E64=""),"",F64&amp;"-"&amp;COUNTIFS($D$4:D64,"Noah",$F$4:F64,F64,$E$4:E64,"&lt;&gt;"))</f>
        <v/>
      </c>
      <c r="L64" s="35"/>
      <c r="M64" s="35"/>
      <c r="N64" s="35"/>
      <c r="O64" s="35"/>
      <c r="P64" s="35"/>
      <c r="Q64" s="35"/>
      <c r="R64" s="94">
        <f>IF(E64="",0,IFERROR(IF(INDEX('Player Board'!$H$4:$H$163,MATCH(E64,'Player Board'!$B$4:$B$163,0))&lt;=20,4.5,IF(INDEX('Player Board'!$H$4:$H$163,MATCH(E64,'Player Board'!$B$4:$B$163,0))&lt;=40,3.5,IF(INDEX('Player Board'!$H$4:$H$163,MATCH(E64,'Player Board'!$B$4:$B$163,0))&lt;=70,2.5,IF(INDEX('Player Board'!$H$4:$H$163,MATCH(E64,'Player Board'!$B$4:$B$163,0))&lt;=110,1.5,1)))),1))</f>
        <v>0</v>
      </c>
      <c r="S64" s="2"/>
      <c r="T64" s="2"/>
      <c r="U64" s="2"/>
      <c r="V64" s="2"/>
      <c r="W64" s="2"/>
      <c r="X64" s="2"/>
      <c r="Y64" s="2"/>
      <c r="Z64" s="2"/>
    </row>
    <row r="65" spans="1:26" ht="11" customHeight="1">
      <c r="A65" s="35">
        <v>62</v>
      </c>
      <c r="B65" s="35">
        <v>8</v>
      </c>
      <c r="C65" s="35">
        <v>6</v>
      </c>
      <c r="D65" s="35"/>
      <c r="E65" s="35"/>
      <c r="F65" s="35" t="str">
        <f>IFERROR(INDEX('Player Board'!$C$4:$C$163,MATCH(E65,'Player Board'!$B$4:$B$163,0)),"")</f>
        <v/>
      </c>
      <c r="G65" s="35" t="str">
        <f t="shared" si="1"/>
        <v>No</v>
      </c>
      <c r="H65" s="35" t="str">
        <f>IFERROR(INDEX('Player Board'!$H$4:$H$163,MATCH(E65,'Player Board'!$B$4:$B$163,0)),"")</f>
        <v/>
      </c>
      <c r="I65" s="34" t="str">
        <f>IF(E65="","",IFERROR(A65-INDEX('Player Board'!$Q$4:$Q$163,MATCH(E65,'Player Board'!$B$4:$B$163,0)),""))</f>
        <v/>
      </c>
      <c r="J65" s="35"/>
      <c r="K65" s="35" t="str">
        <f>IF(OR(D65&lt;&gt;"Noah",E65=""),"",F65&amp;"-"&amp;COUNTIFS($D$4:D65,"Noah",$F$4:F65,F65,$E$4:E65,"&lt;&gt;"))</f>
        <v/>
      </c>
      <c r="L65" s="35"/>
      <c r="M65" s="35"/>
      <c r="N65" s="35"/>
      <c r="O65" s="35"/>
      <c r="P65" s="35"/>
      <c r="Q65" s="35"/>
      <c r="R65" s="94">
        <f>IF(E65="",0,IFERROR(IF(INDEX('Player Board'!$H$4:$H$163,MATCH(E65,'Player Board'!$B$4:$B$163,0))&lt;=20,4.5,IF(INDEX('Player Board'!$H$4:$H$163,MATCH(E65,'Player Board'!$B$4:$B$163,0))&lt;=40,3.5,IF(INDEX('Player Board'!$H$4:$H$163,MATCH(E65,'Player Board'!$B$4:$B$163,0))&lt;=70,2.5,IF(INDEX('Player Board'!$H$4:$H$163,MATCH(E65,'Player Board'!$B$4:$B$163,0))&lt;=110,1.5,1)))),1))</f>
        <v>0</v>
      </c>
      <c r="S65" s="2"/>
      <c r="T65" s="2"/>
      <c r="U65" s="2"/>
      <c r="V65" s="2"/>
      <c r="W65" s="2"/>
      <c r="X65" s="2"/>
      <c r="Y65" s="2"/>
      <c r="Z65" s="2"/>
    </row>
    <row r="66" spans="1:26" ht="11" customHeight="1">
      <c r="A66" s="35">
        <v>63</v>
      </c>
      <c r="B66" s="35">
        <v>8</v>
      </c>
      <c r="C66" s="35">
        <v>7</v>
      </c>
      <c r="D66" s="35"/>
      <c r="E66" s="35"/>
      <c r="F66" s="35" t="str">
        <f>IFERROR(INDEX('Player Board'!$C$4:$C$163,MATCH(E66,'Player Board'!$B$4:$B$163,0)),"")</f>
        <v/>
      </c>
      <c r="G66" s="35" t="str">
        <f t="shared" si="1"/>
        <v>No</v>
      </c>
      <c r="H66" s="35" t="str">
        <f>IFERROR(INDEX('Player Board'!$H$4:$H$163,MATCH(E66,'Player Board'!$B$4:$B$163,0)),"")</f>
        <v/>
      </c>
      <c r="I66" s="34" t="str">
        <f>IF(E66="","",IFERROR(A66-INDEX('Player Board'!$Q$4:$Q$163,MATCH(E66,'Player Board'!$B$4:$B$163,0)),""))</f>
        <v/>
      </c>
      <c r="J66" s="35"/>
      <c r="K66" s="35" t="str">
        <f>IF(OR(D66&lt;&gt;"Noah",E66=""),"",F66&amp;"-"&amp;COUNTIFS($D$4:D66,"Noah",$F$4:F66,F66,$E$4:E66,"&lt;&gt;"))</f>
        <v/>
      </c>
      <c r="L66" s="35"/>
      <c r="M66" s="35"/>
      <c r="N66" s="35"/>
      <c r="O66" s="35"/>
      <c r="P66" s="35"/>
      <c r="Q66" s="35"/>
      <c r="R66" s="94">
        <f>IF(E66="",0,IFERROR(IF(INDEX('Player Board'!$H$4:$H$163,MATCH(E66,'Player Board'!$B$4:$B$163,0))&lt;=20,4.5,IF(INDEX('Player Board'!$H$4:$H$163,MATCH(E66,'Player Board'!$B$4:$B$163,0))&lt;=40,3.5,IF(INDEX('Player Board'!$H$4:$H$163,MATCH(E66,'Player Board'!$B$4:$B$163,0))&lt;=70,2.5,IF(INDEX('Player Board'!$H$4:$H$163,MATCH(E66,'Player Board'!$B$4:$B$163,0))&lt;=110,1.5,1)))),1))</f>
        <v>0</v>
      </c>
      <c r="S66" s="2"/>
      <c r="T66" s="2"/>
      <c r="U66" s="2"/>
      <c r="V66" s="2"/>
      <c r="W66" s="2"/>
      <c r="X66" s="2"/>
      <c r="Y66" s="2"/>
      <c r="Z66" s="2"/>
    </row>
    <row r="67" spans="1:26" ht="11" customHeight="1">
      <c r="A67" s="35">
        <v>64</v>
      </c>
      <c r="B67" s="35">
        <v>8</v>
      </c>
      <c r="C67" s="35">
        <v>8</v>
      </c>
      <c r="D67" s="35"/>
      <c r="E67" s="35"/>
      <c r="F67" s="35" t="str">
        <f>IFERROR(INDEX('Player Board'!$C$4:$C$163,MATCH(E67,'Player Board'!$B$4:$B$163,0)),"")</f>
        <v/>
      </c>
      <c r="G67" s="35" t="str">
        <f t="shared" si="1"/>
        <v>No</v>
      </c>
      <c r="H67" s="35" t="str">
        <f>IFERROR(INDEX('Player Board'!$H$4:$H$163,MATCH(E67,'Player Board'!$B$4:$B$163,0)),"")</f>
        <v/>
      </c>
      <c r="I67" s="34" t="str">
        <f>IF(E67="","",IFERROR(A67-INDEX('Player Board'!$Q$4:$Q$163,MATCH(E67,'Player Board'!$B$4:$B$163,0)),""))</f>
        <v/>
      </c>
      <c r="J67" s="35"/>
      <c r="K67" s="35" t="str">
        <f>IF(OR(D67&lt;&gt;"Noah",E67=""),"",F67&amp;"-"&amp;COUNTIFS($D$4:D67,"Noah",$F$4:F67,F67,$E$4:E67,"&lt;&gt;"))</f>
        <v/>
      </c>
      <c r="L67" s="35"/>
      <c r="M67" s="35"/>
      <c r="N67" s="35"/>
      <c r="O67" s="35"/>
      <c r="P67" s="35"/>
      <c r="Q67" s="35"/>
      <c r="R67" s="94">
        <f>IF(E67="",0,IFERROR(IF(INDEX('Player Board'!$H$4:$H$163,MATCH(E67,'Player Board'!$B$4:$B$163,0))&lt;=20,4.5,IF(INDEX('Player Board'!$H$4:$H$163,MATCH(E67,'Player Board'!$B$4:$B$163,0))&lt;=40,3.5,IF(INDEX('Player Board'!$H$4:$H$163,MATCH(E67,'Player Board'!$B$4:$B$163,0))&lt;=70,2.5,IF(INDEX('Player Board'!$H$4:$H$163,MATCH(E67,'Player Board'!$B$4:$B$163,0))&lt;=110,1.5,1)))),1))</f>
        <v>0</v>
      </c>
      <c r="S67" s="2"/>
      <c r="T67" s="2"/>
      <c r="U67" s="2"/>
      <c r="V67" s="2"/>
      <c r="W67" s="2"/>
      <c r="X67" s="2"/>
      <c r="Y67" s="2"/>
      <c r="Z67" s="2"/>
    </row>
    <row r="68" spans="1:26" ht="11" customHeight="1">
      <c r="A68" s="35">
        <v>65</v>
      </c>
      <c r="B68" s="35">
        <v>9</v>
      </c>
      <c r="C68" s="35">
        <v>1</v>
      </c>
      <c r="D68" s="35"/>
      <c r="E68" s="35"/>
      <c r="F68" s="35" t="str">
        <f>IFERROR(INDEX('Player Board'!$C$4:$C$163,MATCH(E68,'Player Board'!$B$4:$B$163,0)),"")</f>
        <v/>
      </c>
      <c r="G68" s="35" t="str">
        <f t="shared" ref="G68:G99" si="2">IF(D68="Noah","Yes","No")</f>
        <v>No</v>
      </c>
      <c r="H68" s="35" t="str">
        <f>IFERROR(INDEX('Player Board'!$H$4:$H$163,MATCH(E68,'Player Board'!$B$4:$B$163,0)),"")</f>
        <v/>
      </c>
      <c r="I68" s="34" t="str">
        <f>IF(E68="","",IFERROR(A68-INDEX('Player Board'!$Q$4:$Q$163,MATCH(E68,'Player Board'!$B$4:$B$163,0)),""))</f>
        <v/>
      </c>
      <c r="J68" s="35"/>
      <c r="K68" s="35" t="str">
        <f>IF(OR(D68&lt;&gt;"Noah",E68=""),"",F68&amp;"-"&amp;COUNTIFS($D$4:D68,"Noah",$F$4:F68,F68,$E$4:E68,"&lt;&gt;"))</f>
        <v/>
      </c>
      <c r="L68" s="35"/>
      <c r="M68" s="35"/>
      <c r="N68" s="35"/>
      <c r="O68" s="35"/>
      <c r="P68" s="35"/>
      <c r="Q68" s="35"/>
      <c r="R68" s="94">
        <f>IF(E68="",0,IFERROR(IF(INDEX('Player Board'!$H$4:$H$163,MATCH(E68,'Player Board'!$B$4:$B$163,0))&lt;=20,4.5,IF(INDEX('Player Board'!$H$4:$H$163,MATCH(E68,'Player Board'!$B$4:$B$163,0))&lt;=40,3.5,IF(INDEX('Player Board'!$H$4:$H$163,MATCH(E68,'Player Board'!$B$4:$B$163,0))&lt;=70,2.5,IF(INDEX('Player Board'!$H$4:$H$163,MATCH(E68,'Player Board'!$B$4:$B$163,0))&lt;=110,1.5,1)))),1))</f>
        <v>0</v>
      </c>
      <c r="S68" s="2"/>
      <c r="T68" s="2"/>
      <c r="U68" s="2"/>
      <c r="V68" s="2"/>
      <c r="W68" s="2"/>
      <c r="X68" s="2"/>
      <c r="Y68" s="2"/>
      <c r="Z68" s="2"/>
    </row>
    <row r="69" spans="1:26" ht="11" customHeight="1">
      <c r="A69" s="35">
        <v>66</v>
      </c>
      <c r="B69" s="35">
        <v>9</v>
      </c>
      <c r="C69" s="35">
        <v>2</v>
      </c>
      <c r="D69" s="35"/>
      <c r="E69" s="35"/>
      <c r="F69" s="35" t="str">
        <f>IFERROR(INDEX('Player Board'!$C$4:$C$163,MATCH(E69,'Player Board'!$B$4:$B$163,0)),"")</f>
        <v/>
      </c>
      <c r="G69" s="35" t="str">
        <f t="shared" si="2"/>
        <v>No</v>
      </c>
      <c r="H69" s="35" t="str">
        <f>IFERROR(INDEX('Player Board'!$H$4:$H$163,MATCH(E69,'Player Board'!$B$4:$B$163,0)),"")</f>
        <v/>
      </c>
      <c r="I69" s="34" t="str">
        <f>IF(E69="","",IFERROR(A69-INDEX('Player Board'!$Q$4:$Q$163,MATCH(E69,'Player Board'!$B$4:$B$163,0)),""))</f>
        <v/>
      </c>
      <c r="J69" s="35"/>
      <c r="K69" s="35" t="str">
        <f>IF(OR(D69&lt;&gt;"Noah",E69=""),"",F69&amp;"-"&amp;COUNTIFS($D$4:D69,"Noah",$F$4:F69,F69,$E$4:E69,"&lt;&gt;"))</f>
        <v/>
      </c>
      <c r="L69" s="35"/>
      <c r="M69" s="35"/>
      <c r="N69" s="35"/>
      <c r="O69" s="35"/>
      <c r="P69" s="35"/>
      <c r="Q69" s="35"/>
      <c r="R69" s="94">
        <f>IF(E69="",0,IFERROR(IF(INDEX('Player Board'!$H$4:$H$163,MATCH(E69,'Player Board'!$B$4:$B$163,0))&lt;=20,4.5,IF(INDEX('Player Board'!$H$4:$H$163,MATCH(E69,'Player Board'!$B$4:$B$163,0))&lt;=40,3.5,IF(INDEX('Player Board'!$H$4:$H$163,MATCH(E69,'Player Board'!$B$4:$B$163,0))&lt;=70,2.5,IF(INDEX('Player Board'!$H$4:$H$163,MATCH(E69,'Player Board'!$B$4:$B$163,0))&lt;=110,1.5,1)))),1))</f>
        <v>0</v>
      </c>
      <c r="S69" s="2"/>
      <c r="T69" s="2"/>
      <c r="U69" s="2"/>
      <c r="V69" s="2"/>
      <c r="W69" s="2"/>
      <c r="X69" s="2"/>
      <c r="Y69" s="2"/>
      <c r="Z69" s="2"/>
    </row>
    <row r="70" spans="1:26" ht="11" customHeight="1">
      <c r="A70" s="35">
        <v>67</v>
      </c>
      <c r="B70" s="35">
        <v>9</v>
      </c>
      <c r="C70" s="35">
        <v>3</v>
      </c>
      <c r="D70" s="35"/>
      <c r="E70" s="35"/>
      <c r="F70" s="35" t="str">
        <f>IFERROR(INDEX('Player Board'!$C$4:$C$163,MATCH(E70,'Player Board'!$B$4:$B$163,0)),"")</f>
        <v/>
      </c>
      <c r="G70" s="35" t="str">
        <f t="shared" si="2"/>
        <v>No</v>
      </c>
      <c r="H70" s="35" t="str">
        <f>IFERROR(INDEX('Player Board'!$H$4:$H$163,MATCH(E70,'Player Board'!$B$4:$B$163,0)),"")</f>
        <v/>
      </c>
      <c r="I70" s="34" t="str">
        <f>IF(E70="","",IFERROR(A70-INDEX('Player Board'!$Q$4:$Q$163,MATCH(E70,'Player Board'!$B$4:$B$163,0)),""))</f>
        <v/>
      </c>
      <c r="J70" s="35"/>
      <c r="K70" s="35" t="str">
        <f>IF(OR(D70&lt;&gt;"Noah",E70=""),"",F70&amp;"-"&amp;COUNTIFS($D$4:D70,"Noah",$F$4:F70,F70,$E$4:E70,"&lt;&gt;"))</f>
        <v/>
      </c>
      <c r="L70" s="35"/>
      <c r="M70" s="35"/>
      <c r="N70" s="35"/>
      <c r="O70" s="35"/>
      <c r="P70" s="35"/>
      <c r="Q70" s="35"/>
      <c r="R70" s="94">
        <f>IF(E70="",0,IFERROR(IF(INDEX('Player Board'!$H$4:$H$163,MATCH(E70,'Player Board'!$B$4:$B$163,0))&lt;=20,4.5,IF(INDEX('Player Board'!$H$4:$H$163,MATCH(E70,'Player Board'!$B$4:$B$163,0))&lt;=40,3.5,IF(INDEX('Player Board'!$H$4:$H$163,MATCH(E70,'Player Board'!$B$4:$B$163,0))&lt;=70,2.5,IF(INDEX('Player Board'!$H$4:$H$163,MATCH(E70,'Player Board'!$B$4:$B$163,0))&lt;=110,1.5,1)))),1))</f>
        <v>0</v>
      </c>
      <c r="S70" s="2"/>
      <c r="T70" s="2"/>
      <c r="U70" s="2"/>
      <c r="V70" s="2"/>
      <c r="W70" s="2"/>
      <c r="X70" s="2"/>
      <c r="Y70" s="2"/>
      <c r="Z70" s="2"/>
    </row>
    <row r="71" spans="1:26" ht="11" customHeight="1">
      <c r="A71" s="35">
        <v>68</v>
      </c>
      <c r="B71" s="35">
        <v>9</v>
      </c>
      <c r="C71" s="35">
        <v>4</v>
      </c>
      <c r="D71" s="35"/>
      <c r="E71" s="35"/>
      <c r="F71" s="35" t="str">
        <f>IFERROR(INDEX('Player Board'!$C$4:$C$163,MATCH(E71,'Player Board'!$B$4:$B$163,0)),"")</f>
        <v/>
      </c>
      <c r="G71" s="35" t="str">
        <f t="shared" si="2"/>
        <v>No</v>
      </c>
      <c r="H71" s="35" t="str">
        <f>IFERROR(INDEX('Player Board'!$H$4:$H$163,MATCH(E71,'Player Board'!$B$4:$B$163,0)),"")</f>
        <v/>
      </c>
      <c r="I71" s="34" t="str">
        <f>IF(E71="","",IFERROR(A71-INDEX('Player Board'!$Q$4:$Q$163,MATCH(E71,'Player Board'!$B$4:$B$163,0)),""))</f>
        <v/>
      </c>
      <c r="J71" s="35"/>
      <c r="K71" s="35" t="str">
        <f>IF(OR(D71&lt;&gt;"Noah",E71=""),"",F71&amp;"-"&amp;COUNTIFS($D$4:D71,"Noah",$F$4:F71,F71,$E$4:E71,"&lt;&gt;"))</f>
        <v/>
      </c>
      <c r="L71" s="35"/>
      <c r="M71" s="35"/>
      <c r="N71" s="35"/>
      <c r="O71" s="35"/>
      <c r="P71" s="35"/>
      <c r="Q71" s="35"/>
      <c r="R71" s="94">
        <f>IF(E71="",0,IFERROR(IF(INDEX('Player Board'!$H$4:$H$163,MATCH(E71,'Player Board'!$B$4:$B$163,0))&lt;=20,4.5,IF(INDEX('Player Board'!$H$4:$H$163,MATCH(E71,'Player Board'!$B$4:$B$163,0))&lt;=40,3.5,IF(INDEX('Player Board'!$H$4:$H$163,MATCH(E71,'Player Board'!$B$4:$B$163,0))&lt;=70,2.5,IF(INDEX('Player Board'!$H$4:$H$163,MATCH(E71,'Player Board'!$B$4:$B$163,0))&lt;=110,1.5,1)))),1))</f>
        <v>0</v>
      </c>
      <c r="S71" s="2"/>
      <c r="T71" s="2"/>
      <c r="U71" s="2"/>
      <c r="V71" s="2"/>
      <c r="W71" s="2"/>
      <c r="X71" s="2"/>
      <c r="Y71" s="2"/>
      <c r="Z71" s="2"/>
    </row>
    <row r="72" spans="1:26" ht="11" customHeight="1">
      <c r="A72" s="35">
        <v>69</v>
      </c>
      <c r="B72" s="35">
        <v>9</v>
      </c>
      <c r="C72" s="35">
        <v>5</v>
      </c>
      <c r="D72" s="35" t="s">
        <v>1</v>
      </c>
      <c r="E72" s="35"/>
      <c r="F72" s="35" t="str">
        <f>IFERROR(INDEX('Player Board'!$C$4:$C$163,MATCH(E72,'Player Board'!$B$4:$B$163,0)),"")</f>
        <v/>
      </c>
      <c r="G72" s="35" t="str">
        <f t="shared" si="2"/>
        <v>Yes</v>
      </c>
      <c r="H72" s="35" t="str">
        <f>IFERROR(INDEX('Player Board'!$H$4:$H$163,MATCH(E72,'Player Board'!$B$4:$B$163,0)),"")</f>
        <v/>
      </c>
      <c r="I72" s="34" t="str">
        <f>IF(E72="","",IFERROR(A72-INDEX('Player Board'!$Q$4:$Q$163,MATCH(E72,'Player Board'!$B$4:$B$163,0)),""))</f>
        <v/>
      </c>
      <c r="J72" s="35"/>
      <c r="K72" s="35" t="str">
        <f>IF(OR(D72&lt;&gt;"Noah",E72=""),"",F72&amp;"-"&amp;COUNTIFS($D$4:D72,"Noah",$F$4:F72,F72,$E$4:E72,"&lt;&gt;"))</f>
        <v/>
      </c>
      <c r="L72" s="35"/>
      <c r="M72" s="35"/>
      <c r="N72" s="35"/>
      <c r="O72" s="35"/>
      <c r="P72" s="35"/>
      <c r="Q72" s="35"/>
      <c r="R72" s="94">
        <f>IF(E72="",0,IFERROR(IF(INDEX('Player Board'!$H$4:$H$163,MATCH(E72,'Player Board'!$B$4:$B$163,0))&lt;=20,4.5,IF(INDEX('Player Board'!$H$4:$H$163,MATCH(E72,'Player Board'!$B$4:$B$163,0))&lt;=40,3.5,IF(INDEX('Player Board'!$H$4:$H$163,MATCH(E72,'Player Board'!$B$4:$B$163,0))&lt;=70,2.5,IF(INDEX('Player Board'!$H$4:$H$163,MATCH(E72,'Player Board'!$B$4:$B$163,0))&lt;=110,1.5,1)))),1))</f>
        <v>0</v>
      </c>
      <c r="S72" s="2"/>
      <c r="T72" s="2"/>
      <c r="U72" s="2"/>
      <c r="V72" s="2"/>
      <c r="W72" s="2"/>
      <c r="X72" s="2"/>
      <c r="Y72" s="2"/>
      <c r="Z72" s="2"/>
    </row>
    <row r="73" spans="1:26" ht="11" customHeight="1">
      <c r="A73" s="35">
        <v>70</v>
      </c>
      <c r="B73" s="35">
        <v>9</v>
      </c>
      <c r="C73" s="35">
        <v>6</v>
      </c>
      <c r="D73" s="35"/>
      <c r="E73" s="35"/>
      <c r="F73" s="35" t="str">
        <f>IFERROR(INDEX('Player Board'!$C$4:$C$163,MATCH(E73,'Player Board'!$B$4:$B$163,0)),"")</f>
        <v/>
      </c>
      <c r="G73" s="35" t="str">
        <f t="shared" si="2"/>
        <v>No</v>
      </c>
      <c r="H73" s="35" t="str">
        <f>IFERROR(INDEX('Player Board'!$H$4:$H$163,MATCH(E73,'Player Board'!$B$4:$B$163,0)),"")</f>
        <v/>
      </c>
      <c r="I73" s="34" t="str">
        <f>IF(E73="","",IFERROR(A73-INDEX('Player Board'!$Q$4:$Q$163,MATCH(E73,'Player Board'!$B$4:$B$163,0)),""))</f>
        <v/>
      </c>
      <c r="J73" s="35"/>
      <c r="K73" s="35" t="str">
        <f>IF(OR(D73&lt;&gt;"Noah",E73=""),"",F73&amp;"-"&amp;COUNTIFS($D$4:D73,"Noah",$F$4:F73,F73,$E$4:E73,"&lt;&gt;"))</f>
        <v/>
      </c>
      <c r="L73" s="35"/>
      <c r="M73" s="35"/>
      <c r="N73" s="35"/>
      <c r="O73" s="35"/>
      <c r="P73" s="35"/>
      <c r="Q73" s="35"/>
      <c r="R73" s="94">
        <f>IF(E73="",0,IFERROR(IF(INDEX('Player Board'!$H$4:$H$163,MATCH(E73,'Player Board'!$B$4:$B$163,0))&lt;=20,4.5,IF(INDEX('Player Board'!$H$4:$H$163,MATCH(E73,'Player Board'!$B$4:$B$163,0))&lt;=40,3.5,IF(INDEX('Player Board'!$H$4:$H$163,MATCH(E73,'Player Board'!$B$4:$B$163,0))&lt;=70,2.5,IF(INDEX('Player Board'!$H$4:$H$163,MATCH(E73,'Player Board'!$B$4:$B$163,0))&lt;=110,1.5,1)))),1))</f>
        <v>0</v>
      </c>
      <c r="S73" s="2"/>
      <c r="T73" s="2"/>
      <c r="U73" s="2"/>
      <c r="V73" s="2"/>
      <c r="W73" s="2"/>
      <c r="X73" s="2"/>
      <c r="Y73" s="2"/>
      <c r="Z73" s="2"/>
    </row>
    <row r="74" spans="1:26" ht="11" customHeight="1">
      <c r="A74" s="35">
        <v>71</v>
      </c>
      <c r="B74" s="35">
        <v>9</v>
      </c>
      <c r="C74" s="35">
        <v>7</v>
      </c>
      <c r="D74" s="35"/>
      <c r="E74" s="35"/>
      <c r="F74" s="35" t="str">
        <f>IFERROR(INDEX('Player Board'!$C$4:$C$163,MATCH(E74,'Player Board'!$B$4:$B$163,0)),"")</f>
        <v/>
      </c>
      <c r="G74" s="35" t="str">
        <f t="shared" si="2"/>
        <v>No</v>
      </c>
      <c r="H74" s="35" t="str">
        <f>IFERROR(INDEX('Player Board'!$H$4:$H$163,MATCH(E74,'Player Board'!$B$4:$B$163,0)),"")</f>
        <v/>
      </c>
      <c r="I74" s="34" t="str">
        <f>IF(E74="","",IFERROR(A74-INDEX('Player Board'!$Q$4:$Q$163,MATCH(E74,'Player Board'!$B$4:$B$163,0)),""))</f>
        <v/>
      </c>
      <c r="J74" s="35"/>
      <c r="K74" s="35" t="str">
        <f>IF(OR(D74&lt;&gt;"Noah",E74=""),"",F74&amp;"-"&amp;COUNTIFS($D$4:D74,"Noah",$F$4:F74,F74,$E$4:E74,"&lt;&gt;"))</f>
        <v/>
      </c>
      <c r="L74" s="35"/>
      <c r="M74" s="35"/>
      <c r="N74" s="35"/>
      <c r="O74" s="35"/>
      <c r="P74" s="35"/>
      <c r="Q74" s="35"/>
      <c r="R74" s="94">
        <f>IF(E74="",0,IFERROR(IF(INDEX('Player Board'!$H$4:$H$163,MATCH(E74,'Player Board'!$B$4:$B$163,0))&lt;=20,4.5,IF(INDEX('Player Board'!$H$4:$H$163,MATCH(E74,'Player Board'!$B$4:$B$163,0))&lt;=40,3.5,IF(INDEX('Player Board'!$H$4:$H$163,MATCH(E74,'Player Board'!$B$4:$B$163,0))&lt;=70,2.5,IF(INDEX('Player Board'!$H$4:$H$163,MATCH(E74,'Player Board'!$B$4:$B$163,0))&lt;=110,1.5,1)))),1))</f>
        <v>0</v>
      </c>
      <c r="S74" s="2"/>
      <c r="T74" s="2"/>
      <c r="U74" s="2"/>
      <c r="V74" s="2"/>
      <c r="W74" s="2"/>
      <c r="X74" s="2"/>
      <c r="Y74" s="2"/>
      <c r="Z74" s="2"/>
    </row>
    <row r="75" spans="1:26" ht="11" customHeight="1">
      <c r="A75" s="35">
        <v>72</v>
      </c>
      <c r="B75" s="35">
        <v>9</v>
      </c>
      <c r="C75" s="35">
        <v>8</v>
      </c>
      <c r="D75" s="35"/>
      <c r="E75" s="35"/>
      <c r="F75" s="35" t="str">
        <f>IFERROR(INDEX('Player Board'!$C$4:$C$163,MATCH(E75,'Player Board'!$B$4:$B$163,0)),"")</f>
        <v/>
      </c>
      <c r="G75" s="35" t="str">
        <f t="shared" si="2"/>
        <v>No</v>
      </c>
      <c r="H75" s="35" t="str">
        <f>IFERROR(INDEX('Player Board'!$H$4:$H$163,MATCH(E75,'Player Board'!$B$4:$B$163,0)),"")</f>
        <v/>
      </c>
      <c r="I75" s="34" t="str">
        <f>IF(E75="","",IFERROR(A75-INDEX('Player Board'!$Q$4:$Q$163,MATCH(E75,'Player Board'!$B$4:$B$163,0)),""))</f>
        <v/>
      </c>
      <c r="J75" s="35"/>
      <c r="K75" s="35" t="str">
        <f>IF(OR(D75&lt;&gt;"Noah",E75=""),"",F75&amp;"-"&amp;COUNTIFS($D$4:D75,"Noah",$F$4:F75,F75,$E$4:E75,"&lt;&gt;"))</f>
        <v/>
      </c>
      <c r="L75" s="35"/>
      <c r="M75" s="35"/>
      <c r="N75" s="35"/>
      <c r="O75" s="35"/>
      <c r="P75" s="35"/>
      <c r="Q75" s="35"/>
      <c r="R75" s="94">
        <f>IF(E75="",0,IFERROR(IF(INDEX('Player Board'!$H$4:$H$163,MATCH(E75,'Player Board'!$B$4:$B$163,0))&lt;=20,4.5,IF(INDEX('Player Board'!$H$4:$H$163,MATCH(E75,'Player Board'!$B$4:$B$163,0))&lt;=40,3.5,IF(INDEX('Player Board'!$H$4:$H$163,MATCH(E75,'Player Board'!$B$4:$B$163,0))&lt;=70,2.5,IF(INDEX('Player Board'!$H$4:$H$163,MATCH(E75,'Player Board'!$B$4:$B$163,0))&lt;=110,1.5,1)))),1))</f>
        <v>0</v>
      </c>
      <c r="S75" s="2"/>
      <c r="T75" s="2"/>
      <c r="U75" s="2"/>
      <c r="V75" s="2"/>
      <c r="W75" s="2"/>
      <c r="X75" s="2"/>
      <c r="Y75" s="2"/>
      <c r="Z75" s="2"/>
    </row>
    <row r="76" spans="1:26" ht="11" customHeight="1">
      <c r="A76" s="35">
        <v>73</v>
      </c>
      <c r="B76" s="35">
        <v>10</v>
      </c>
      <c r="C76" s="35">
        <v>1</v>
      </c>
      <c r="D76" s="35"/>
      <c r="E76" s="35"/>
      <c r="F76" s="35" t="str">
        <f>IFERROR(INDEX('Player Board'!$C$4:$C$163,MATCH(E76,'Player Board'!$B$4:$B$163,0)),"")</f>
        <v/>
      </c>
      <c r="G76" s="35" t="str">
        <f t="shared" si="2"/>
        <v>No</v>
      </c>
      <c r="H76" s="35" t="str">
        <f>IFERROR(INDEX('Player Board'!$H$4:$H$163,MATCH(E76,'Player Board'!$B$4:$B$163,0)),"")</f>
        <v/>
      </c>
      <c r="I76" s="34" t="str">
        <f>IF(E76="","",IFERROR(A76-INDEX('Player Board'!$Q$4:$Q$163,MATCH(E76,'Player Board'!$B$4:$B$163,0)),""))</f>
        <v/>
      </c>
      <c r="J76" s="35"/>
      <c r="K76" s="35" t="str">
        <f>IF(OR(D76&lt;&gt;"Noah",E76=""),"",F76&amp;"-"&amp;COUNTIFS($D$4:D76,"Noah",$F$4:F76,F76,$E$4:E76,"&lt;&gt;"))</f>
        <v/>
      </c>
      <c r="L76" s="35"/>
      <c r="M76" s="35"/>
      <c r="N76" s="35"/>
      <c r="O76" s="35"/>
      <c r="P76" s="35"/>
      <c r="Q76" s="35"/>
      <c r="R76" s="94">
        <f>IF(E76="",0,IFERROR(IF(INDEX('Player Board'!$H$4:$H$163,MATCH(E76,'Player Board'!$B$4:$B$163,0))&lt;=20,4.5,IF(INDEX('Player Board'!$H$4:$H$163,MATCH(E76,'Player Board'!$B$4:$B$163,0))&lt;=40,3.5,IF(INDEX('Player Board'!$H$4:$H$163,MATCH(E76,'Player Board'!$B$4:$B$163,0))&lt;=70,2.5,IF(INDEX('Player Board'!$H$4:$H$163,MATCH(E76,'Player Board'!$B$4:$B$163,0))&lt;=110,1.5,1)))),1))</f>
        <v>0</v>
      </c>
      <c r="S76" s="2"/>
      <c r="T76" s="2"/>
      <c r="U76" s="2"/>
      <c r="V76" s="2"/>
      <c r="W76" s="2"/>
      <c r="X76" s="2"/>
      <c r="Y76" s="2"/>
      <c r="Z76" s="2"/>
    </row>
    <row r="77" spans="1:26" ht="11" customHeight="1">
      <c r="A77" s="35">
        <v>74</v>
      </c>
      <c r="B77" s="35">
        <v>10</v>
      </c>
      <c r="C77" s="35">
        <v>2</v>
      </c>
      <c r="D77" s="35"/>
      <c r="E77" s="35"/>
      <c r="F77" s="35" t="str">
        <f>IFERROR(INDEX('Player Board'!$C$4:$C$163,MATCH(E77,'Player Board'!$B$4:$B$163,0)),"")</f>
        <v/>
      </c>
      <c r="G77" s="35" t="str">
        <f t="shared" si="2"/>
        <v>No</v>
      </c>
      <c r="H77" s="35" t="str">
        <f>IFERROR(INDEX('Player Board'!$H$4:$H$163,MATCH(E77,'Player Board'!$B$4:$B$163,0)),"")</f>
        <v/>
      </c>
      <c r="I77" s="34" t="str">
        <f>IF(E77="","",IFERROR(A77-INDEX('Player Board'!$Q$4:$Q$163,MATCH(E77,'Player Board'!$B$4:$B$163,0)),""))</f>
        <v/>
      </c>
      <c r="J77" s="35"/>
      <c r="K77" s="35" t="str">
        <f>IF(OR(D77&lt;&gt;"Noah",E77=""),"",F77&amp;"-"&amp;COUNTIFS($D$4:D77,"Noah",$F$4:F77,F77,$E$4:E77,"&lt;&gt;"))</f>
        <v/>
      </c>
      <c r="L77" s="35"/>
      <c r="M77" s="35"/>
      <c r="N77" s="35"/>
      <c r="O77" s="35"/>
      <c r="P77" s="35"/>
      <c r="Q77" s="35"/>
      <c r="R77" s="94">
        <f>IF(E77="",0,IFERROR(IF(INDEX('Player Board'!$H$4:$H$163,MATCH(E77,'Player Board'!$B$4:$B$163,0))&lt;=20,4.5,IF(INDEX('Player Board'!$H$4:$H$163,MATCH(E77,'Player Board'!$B$4:$B$163,0))&lt;=40,3.5,IF(INDEX('Player Board'!$H$4:$H$163,MATCH(E77,'Player Board'!$B$4:$B$163,0))&lt;=70,2.5,IF(INDEX('Player Board'!$H$4:$H$163,MATCH(E77,'Player Board'!$B$4:$B$163,0))&lt;=110,1.5,1)))),1))</f>
        <v>0</v>
      </c>
      <c r="S77" s="2"/>
      <c r="T77" s="2"/>
      <c r="U77" s="2"/>
      <c r="V77" s="2"/>
      <c r="W77" s="2"/>
      <c r="X77" s="2"/>
      <c r="Y77" s="2"/>
      <c r="Z77" s="2"/>
    </row>
    <row r="78" spans="1:26" ht="11" customHeight="1">
      <c r="A78" s="35">
        <v>75</v>
      </c>
      <c r="B78" s="35">
        <v>10</v>
      </c>
      <c r="C78" s="35">
        <v>3</v>
      </c>
      <c r="D78" s="35"/>
      <c r="E78" s="35"/>
      <c r="F78" s="35" t="str">
        <f>IFERROR(INDEX('Player Board'!$C$4:$C$163,MATCH(E78,'Player Board'!$B$4:$B$163,0)),"")</f>
        <v/>
      </c>
      <c r="G78" s="35" t="str">
        <f t="shared" si="2"/>
        <v>No</v>
      </c>
      <c r="H78" s="35" t="str">
        <f>IFERROR(INDEX('Player Board'!$H$4:$H$163,MATCH(E78,'Player Board'!$B$4:$B$163,0)),"")</f>
        <v/>
      </c>
      <c r="I78" s="34" t="str">
        <f>IF(E78="","",IFERROR(A78-INDEX('Player Board'!$Q$4:$Q$163,MATCH(E78,'Player Board'!$B$4:$B$163,0)),""))</f>
        <v/>
      </c>
      <c r="J78" s="35"/>
      <c r="K78" s="35" t="str">
        <f>IF(OR(D78&lt;&gt;"Noah",E78=""),"",F78&amp;"-"&amp;COUNTIFS($D$4:D78,"Noah",$F$4:F78,F78,$E$4:E78,"&lt;&gt;"))</f>
        <v/>
      </c>
      <c r="L78" s="35"/>
      <c r="M78" s="35"/>
      <c r="N78" s="35"/>
      <c r="O78" s="35"/>
      <c r="P78" s="35"/>
      <c r="Q78" s="35"/>
      <c r="R78" s="94">
        <f>IF(E78="",0,IFERROR(IF(INDEX('Player Board'!$H$4:$H$163,MATCH(E78,'Player Board'!$B$4:$B$163,0))&lt;=20,4.5,IF(INDEX('Player Board'!$H$4:$H$163,MATCH(E78,'Player Board'!$B$4:$B$163,0))&lt;=40,3.5,IF(INDEX('Player Board'!$H$4:$H$163,MATCH(E78,'Player Board'!$B$4:$B$163,0))&lt;=70,2.5,IF(INDEX('Player Board'!$H$4:$H$163,MATCH(E78,'Player Board'!$B$4:$B$163,0))&lt;=110,1.5,1)))),1))</f>
        <v>0</v>
      </c>
      <c r="S78" s="2"/>
      <c r="T78" s="2"/>
      <c r="U78" s="2"/>
      <c r="V78" s="2"/>
      <c r="W78" s="2"/>
      <c r="X78" s="2"/>
      <c r="Y78" s="2"/>
      <c r="Z78" s="2"/>
    </row>
    <row r="79" spans="1:26" ht="11" customHeight="1">
      <c r="A79" s="35">
        <v>76</v>
      </c>
      <c r="B79" s="35">
        <v>10</v>
      </c>
      <c r="C79" s="35">
        <v>4</v>
      </c>
      <c r="D79" s="35" t="s">
        <v>1</v>
      </c>
      <c r="E79" s="35"/>
      <c r="F79" s="35" t="str">
        <f>IFERROR(INDEX('Player Board'!$C$4:$C$163,MATCH(E79,'Player Board'!$B$4:$B$163,0)),"")</f>
        <v/>
      </c>
      <c r="G79" s="35" t="str">
        <f t="shared" si="2"/>
        <v>Yes</v>
      </c>
      <c r="H79" s="35" t="str">
        <f>IFERROR(INDEX('Player Board'!$H$4:$H$163,MATCH(E79,'Player Board'!$B$4:$B$163,0)),"")</f>
        <v/>
      </c>
      <c r="I79" s="34" t="str">
        <f>IF(E79="","",IFERROR(A79-INDEX('Player Board'!$Q$4:$Q$163,MATCH(E79,'Player Board'!$B$4:$B$163,0)),""))</f>
        <v/>
      </c>
      <c r="J79" s="35"/>
      <c r="K79" s="35" t="str">
        <f>IF(OR(D79&lt;&gt;"Noah",E79=""),"",F79&amp;"-"&amp;COUNTIFS($D$4:D79,"Noah",$F$4:F79,F79,$E$4:E79,"&lt;&gt;"))</f>
        <v/>
      </c>
      <c r="L79" s="35"/>
      <c r="M79" s="35"/>
      <c r="N79" s="35"/>
      <c r="O79" s="35"/>
      <c r="P79" s="35"/>
      <c r="Q79" s="35"/>
      <c r="R79" s="94">
        <f>IF(E79="",0,IFERROR(IF(INDEX('Player Board'!$H$4:$H$163,MATCH(E79,'Player Board'!$B$4:$B$163,0))&lt;=20,4.5,IF(INDEX('Player Board'!$H$4:$H$163,MATCH(E79,'Player Board'!$B$4:$B$163,0))&lt;=40,3.5,IF(INDEX('Player Board'!$H$4:$H$163,MATCH(E79,'Player Board'!$B$4:$B$163,0))&lt;=70,2.5,IF(INDEX('Player Board'!$H$4:$H$163,MATCH(E79,'Player Board'!$B$4:$B$163,0))&lt;=110,1.5,1)))),1))</f>
        <v>0</v>
      </c>
      <c r="S79" s="2"/>
      <c r="T79" s="2"/>
      <c r="U79" s="2"/>
      <c r="V79" s="2"/>
      <c r="W79" s="2"/>
      <c r="X79" s="2"/>
      <c r="Y79" s="2"/>
      <c r="Z79" s="2"/>
    </row>
    <row r="80" spans="1:26" ht="11" customHeight="1">
      <c r="A80" s="35">
        <v>77</v>
      </c>
      <c r="B80" s="35">
        <v>10</v>
      </c>
      <c r="C80" s="35">
        <v>5</v>
      </c>
      <c r="D80" s="35"/>
      <c r="E80" s="35"/>
      <c r="F80" s="35" t="str">
        <f>IFERROR(INDEX('Player Board'!$C$4:$C$163,MATCH(E80,'Player Board'!$B$4:$B$163,0)),"")</f>
        <v/>
      </c>
      <c r="G80" s="35" t="str">
        <f t="shared" si="2"/>
        <v>No</v>
      </c>
      <c r="H80" s="35" t="str">
        <f>IFERROR(INDEX('Player Board'!$H$4:$H$163,MATCH(E80,'Player Board'!$B$4:$B$163,0)),"")</f>
        <v/>
      </c>
      <c r="I80" s="34" t="str">
        <f>IF(E80="","",IFERROR(A80-INDEX('Player Board'!$Q$4:$Q$163,MATCH(E80,'Player Board'!$B$4:$B$163,0)),""))</f>
        <v/>
      </c>
      <c r="J80" s="35"/>
      <c r="K80" s="35" t="str">
        <f>IF(OR(D80&lt;&gt;"Noah",E80=""),"",F80&amp;"-"&amp;COUNTIFS($D$4:D80,"Noah",$F$4:F80,F80,$E$4:E80,"&lt;&gt;"))</f>
        <v/>
      </c>
      <c r="L80" s="35"/>
      <c r="M80" s="35"/>
      <c r="N80" s="35"/>
      <c r="O80" s="35"/>
      <c r="P80" s="35"/>
      <c r="Q80" s="35"/>
      <c r="R80" s="94">
        <f>IF(E80="",0,IFERROR(IF(INDEX('Player Board'!$H$4:$H$163,MATCH(E80,'Player Board'!$B$4:$B$163,0))&lt;=20,4.5,IF(INDEX('Player Board'!$H$4:$H$163,MATCH(E80,'Player Board'!$B$4:$B$163,0))&lt;=40,3.5,IF(INDEX('Player Board'!$H$4:$H$163,MATCH(E80,'Player Board'!$B$4:$B$163,0))&lt;=70,2.5,IF(INDEX('Player Board'!$H$4:$H$163,MATCH(E80,'Player Board'!$B$4:$B$163,0))&lt;=110,1.5,1)))),1))</f>
        <v>0</v>
      </c>
      <c r="S80" s="2"/>
      <c r="T80" s="2"/>
      <c r="U80" s="2"/>
      <c r="V80" s="2"/>
      <c r="W80" s="2"/>
      <c r="X80" s="2"/>
      <c r="Y80" s="2"/>
      <c r="Z80" s="2"/>
    </row>
    <row r="81" spans="1:26" ht="11" customHeight="1">
      <c r="A81" s="35">
        <v>78</v>
      </c>
      <c r="B81" s="35">
        <v>10</v>
      </c>
      <c r="C81" s="35">
        <v>6</v>
      </c>
      <c r="D81" s="35"/>
      <c r="E81" s="35"/>
      <c r="F81" s="35" t="str">
        <f>IFERROR(INDEX('Player Board'!$C$4:$C$163,MATCH(E81,'Player Board'!$B$4:$B$163,0)),"")</f>
        <v/>
      </c>
      <c r="G81" s="35" t="str">
        <f t="shared" si="2"/>
        <v>No</v>
      </c>
      <c r="H81" s="35" t="str">
        <f>IFERROR(INDEX('Player Board'!$H$4:$H$163,MATCH(E81,'Player Board'!$B$4:$B$163,0)),"")</f>
        <v/>
      </c>
      <c r="I81" s="34" t="str">
        <f>IF(E81="","",IFERROR(A81-INDEX('Player Board'!$Q$4:$Q$163,MATCH(E81,'Player Board'!$B$4:$B$163,0)),""))</f>
        <v/>
      </c>
      <c r="J81" s="35"/>
      <c r="K81" s="35" t="str">
        <f>IF(OR(D81&lt;&gt;"Noah",E81=""),"",F81&amp;"-"&amp;COUNTIFS($D$4:D81,"Noah",$F$4:F81,F81,$E$4:E81,"&lt;&gt;"))</f>
        <v/>
      </c>
      <c r="L81" s="35"/>
      <c r="M81" s="35"/>
      <c r="N81" s="35"/>
      <c r="O81" s="35"/>
      <c r="P81" s="35"/>
      <c r="Q81" s="35"/>
      <c r="R81" s="94">
        <f>IF(E81="",0,IFERROR(IF(INDEX('Player Board'!$H$4:$H$163,MATCH(E81,'Player Board'!$B$4:$B$163,0))&lt;=20,4.5,IF(INDEX('Player Board'!$H$4:$H$163,MATCH(E81,'Player Board'!$B$4:$B$163,0))&lt;=40,3.5,IF(INDEX('Player Board'!$H$4:$H$163,MATCH(E81,'Player Board'!$B$4:$B$163,0))&lt;=70,2.5,IF(INDEX('Player Board'!$H$4:$H$163,MATCH(E81,'Player Board'!$B$4:$B$163,0))&lt;=110,1.5,1)))),1))</f>
        <v>0</v>
      </c>
      <c r="S81" s="2"/>
      <c r="T81" s="2"/>
      <c r="U81" s="2"/>
      <c r="V81" s="2"/>
      <c r="W81" s="2"/>
      <c r="X81" s="2"/>
      <c r="Y81" s="2"/>
      <c r="Z81" s="2"/>
    </row>
    <row r="82" spans="1:26" ht="11" customHeight="1">
      <c r="A82" s="35">
        <v>79</v>
      </c>
      <c r="B82" s="35">
        <v>10</v>
      </c>
      <c r="C82" s="35">
        <v>7</v>
      </c>
      <c r="D82" s="35"/>
      <c r="E82" s="35"/>
      <c r="F82" s="35" t="str">
        <f>IFERROR(INDEX('Player Board'!$C$4:$C$163,MATCH(E82,'Player Board'!$B$4:$B$163,0)),"")</f>
        <v/>
      </c>
      <c r="G82" s="35" t="str">
        <f t="shared" si="2"/>
        <v>No</v>
      </c>
      <c r="H82" s="35" t="str">
        <f>IFERROR(INDEX('Player Board'!$H$4:$H$163,MATCH(E82,'Player Board'!$B$4:$B$163,0)),"")</f>
        <v/>
      </c>
      <c r="I82" s="34" t="str">
        <f>IF(E82="","",IFERROR(A82-INDEX('Player Board'!$Q$4:$Q$163,MATCH(E82,'Player Board'!$B$4:$B$163,0)),""))</f>
        <v/>
      </c>
      <c r="J82" s="35"/>
      <c r="K82" s="35" t="str">
        <f>IF(OR(D82&lt;&gt;"Noah",E82=""),"",F82&amp;"-"&amp;COUNTIFS($D$4:D82,"Noah",$F$4:F82,F82,$E$4:E82,"&lt;&gt;"))</f>
        <v/>
      </c>
      <c r="L82" s="35"/>
      <c r="M82" s="35"/>
      <c r="N82" s="35"/>
      <c r="O82" s="35"/>
      <c r="P82" s="35"/>
      <c r="Q82" s="35"/>
      <c r="R82" s="94">
        <f>IF(E82="",0,IFERROR(IF(INDEX('Player Board'!$H$4:$H$163,MATCH(E82,'Player Board'!$B$4:$B$163,0))&lt;=20,4.5,IF(INDEX('Player Board'!$H$4:$H$163,MATCH(E82,'Player Board'!$B$4:$B$163,0))&lt;=40,3.5,IF(INDEX('Player Board'!$H$4:$H$163,MATCH(E82,'Player Board'!$B$4:$B$163,0))&lt;=70,2.5,IF(INDEX('Player Board'!$H$4:$H$163,MATCH(E82,'Player Board'!$B$4:$B$163,0))&lt;=110,1.5,1)))),1))</f>
        <v>0</v>
      </c>
      <c r="S82" s="2"/>
      <c r="T82" s="2"/>
      <c r="U82" s="2"/>
      <c r="V82" s="2"/>
      <c r="W82" s="2"/>
      <c r="X82" s="2"/>
      <c r="Y82" s="2"/>
      <c r="Z82" s="2"/>
    </row>
    <row r="83" spans="1:26" ht="11" customHeight="1">
      <c r="A83" s="35">
        <v>80</v>
      </c>
      <c r="B83" s="35">
        <v>10</v>
      </c>
      <c r="C83" s="35">
        <v>8</v>
      </c>
      <c r="D83" s="35"/>
      <c r="E83" s="35"/>
      <c r="F83" s="35" t="str">
        <f>IFERROR(INDEX('Player Board'!$C$4:$C$163,MATCH(E83,'Player Board'!$B$4:$B$163,0)),"")</f>
        <v/>
      </c>
      <c r="G83" s="35" t="str">
        <f t="shared" si="2"/>
        <v>No</v>
      </c>
      <c r="H83" s="35" t="str">
        <f>IFERROR(INDEX('Player Board'!$H$4:$H$163,MATCH(E83,'Player Board'!$B$4:$B$163,0)),"")</f>
        <v/>
      </c>
      <c r="I83" s="34" t="str">
        <f>IF(E83="","",IFERROR(A83-INDEX('Player Board'!$Q$4:$Q$163,MATCH(E83,'Player Board'!$B$4:$B$163,0)),""))</f>
        <v/>
      </c>
      <c r="J83" s="35"/>
      <c r="K83" s="35" t="str">
        <f>IF(OR(D83&lt;&gt;"Noah",E83=""),"",F83&amp;"-"&amp;COUNTIFS($D$4:D83,"Noah",$F$4:F83,F83,$E$4:E83,"&lt;&gt;"))</f>
        <v/>
      </c>
      <c r="L83" s="35"/>
      <c r="M83" s="35"/>
      <c r="N83" s="35"/>
      <c r="O83" s="35"/>
      <c r="P83" s="35"/>
      <c r="Q83" s="35"/>
      <c r="R83" s="94">
        <f>IF(E83="",0,IFERROR(IF(INDEX('Player Board'!$H$4:$H$163,MATCH(E83,'Player Board'!$B$4:$B$163,0))&lt;=20,4.5,IF(INDEX('Player Board'!$H$4:$H$163,MATCH(E83,'Player Board'!$B$4:$B$163,0))&lt;=40,3.5,IF(INDEX('Player Board'!$H$4:$H$163,MATCH(E83,'Player Board'!$B$4:$B$163,0))&lt;=70,2.5,IF(INDEX('Player Board'!$H$4:$H$163,MATCH(E83,'Player Board'!$B$4:$B$163,0))&lt;=110,1.5,1)))),1))</f>
        <v>0</v>
      </c>
      <c r="S83" s="2"/>
      <c r="T83" s="2"/>
      <c r="U83" s="2"/>
      <c r="V83" s="2"/>
      <c r="W83" s="2"/>
      <c r="X83" s="2"/>
      <c r="Y83" s="2"/>
      <c r="Z83" s="2"/>
    </row>
    <row r="84" spans="1:26" ht="11" customHeight="1">
      <c r="A84" s="35">
        <v>81</v>
      </c>
      <c r="B84" s="35">
        <v>11</v>
      </c>
      <c r="C84" s="35">
        <v>1</v>
      </c>
      <c r="D84" s="35"/>
      <c r="E84" s="35"/>
      <c r="F84" s="35" t="str">
        <f>IFERROR(INDEX('Player Board'!$C$4:$C$163,MATCH(E84,'Player Board'!$B$4:$B$163,0)),"")</f>
        <v/>
      </c>
      <c r="G84" s="35" t="str">
        <f t="shared" si="2"/>
        <v>No</v>
      </c>
      <c r="H84" s="35" t="str">
        <f>IFERROR(INDEX('Player Board'!$H$4:$H$163,MATCH(E84,'Player Board'!$B$4:$B$163,0)),"")</f>
        <v/>
      </c>
      <c r="I84" s="34" t="str">
        <f>IF(E84="","",IFERROR(A84-INDEX('Player Board'!$Q$4:$Q$163,MATCH(E84,'Player Board'!$B$4:$B$163,0)),""))</f>
        <v/>
      </c>
      <c r="J84" s="35"/>
      <c r="K84" s="35" t="str">
        <f>IF(OR(D84&lt;&gt;"Noah",E84=""),"",F84&amp;"-"&amp;COUNTIFS($D$4:D84,"Noah",$F$4:F84,F84,$E$4:E84,"&lt;&gt;"))</f>
        <v/>
      </c>
      <c r="L84" s="35"/>
      <c r="M84" s="35"/>
      <c r="N84" s="35"/>
      <c r="O84" s="35"/>
      <c r="P84" s="35"/>
      <c r="Q84" s="35"/>
      <c r="R84" s="94">
        <f>IF(E84="",0,IFERROR(IF(INDEX('Player Board'!$H$4:$H$163,MATCH(E84,'Player Board'!$B$4:$B$163,0))&lt;=20,4.5,IF(INDEX('Player Board'!$H$4:$H$163,MATCH(E84,'Player Board'!$B$4:$B$163,0))&lt;=40,3.5,IF(INDEX('Player Board'!$H$4:$H$163,MATCH(E84,'Player Board'!$B$4:$B$163,0))&lt;=70,2.5,IF(INDEX('Player Board'!$H$4:$H$163,MATCH(E84,'Player Board'!$B$4:$B$163,0))&lt;=110,1.5,1)))),1))</f>
        <v>0</v>
      </c>
      <c r="S84" s="2"/>
      <c r="T84" s="2"/>
      <c r="U84" s="2"/>
      <c r="V84" s="2"/>
      <c r="W84" s="2"/>
      <c r="X84" s="2"/>
      <c r="Y84" s="2"/>
      <c r="Z84" s="2"/>
    </row>
    <row r="85" spans="1:26" ht="11" customHeight="1">
      <c r="A85" s="35">
        <v>82</v>
      </c>
      <c r="B85" s="35">
        <v>11</v>
      </c>
      <c r="C85" s="35">
        <v>2</v>
      </c>
      <c r="D85" s="35"/>
      <c r="E85" s="35"/>
      <c r="F85" s="35" t="str">
        <f>IFERROR(INDEX('Player Board'!$C$4:$C$163,MATCH(E85,'Player Board'!$B$4:$B$163,0)),"")</f>
        <v/>
      </c>
      <c r="G85" s="35" t="str">
        <f t="shared" si="2"/>
        <v>No</v>
      </c>
      <c r="H85" s="35" t="str">
        <f>IFERROR(INDEX('Player Board'!$H$4:$H$163,MATCH(E85,'Player Board'!$B$4:$B$163,0)),"")</f>
        <v/>
      </c>
      <c r="I85" s="34" t="str">
        <f>IF(E85="","",IFERROR(A85-INDEX('Player Board'!$Q$4:$Q$163,MATCH(E85,'Player Board'!$B$4:$B$163,0)),""))</f>
        <v/>
      </c>
      <c r="J85" s="35"/>
      <c r="K85" s="35" t="str">
        <f>IF(OR(D85&lt;&gt;"Noah",E85=""),"",F85&amp;"-"&amp;COUNTIFS($D$4:D85,"Noah",$F$4:F85,F85,$E$4:E85,"&lt;&gt;"))</f>
        <v/>
      </c>
      <c r="L85" s="35"/>
      <c r="M85" s="35"/>
      <c r="N85" s="35"/>
      <c r="O85" s="35"/>
      <c r="P85" s="35"/>
      <c r="Q85" s="35"/>
      <c r="R85" s="94">
        <f>IF(E85="",0,IFERROR(IF(INDEX('Player Board'!$H$4:$H$163,MATCH(E85,'Player Board'!$B$4:$B$163,0))&lt;=20,4.5,IF(INDEX('Player Board'!$H$4:$H$163,MATCH(E85,'Player Board'!$B$4:$B$163,0))&lt;=40,3.5,IF(INDEX('Player Board'!$H$4:$H$163,MATCH(E85,'Player Board'!$B$4:$B$163,0))&lt;=70,2.5,IF(INDEX('Player Board'!$H$4:$H$163,MATCH(E85,'Player Board'!$B$4:$B$163,0))&lt;=110,1.5,1)))),1))</f>
        <v>0</v>
      </c>
      <c r="S85" s="2"/>
      <c r="T85" s="2"/>
      <c r="U85" s="2"/>
      <c r="V85" s="2"/>
      <c r="W85" s="2"/>
      <c r="X85" s="2"/>
      <c r="Y85" s="2"/>
      <c r="Z85" s="2"/>
    </row>
    <row r="86" spans="1:26" ht="11" customHeight="1">
      <c r="A86" s="35">
        <v>83</v>
      </c>
      <c r="B86" s="35">
        <v>11</v>
      </c>
      <c r="C86" s="35">
        <v>3</v>
      </c>
      <c r="D86" s="35"/>
      <c r="E86" s="35"/>
      <c r="F86" s="35" t="str">
        <f>IFERROR(INDEX('Player Board'!$C$4:$C$163,MATCH(E86,'Player Board'!$B$4:$B$163,0)),"")</f>
        <v/>
      </c>
      <c r="G86" s="35" t="str">
        <f t="shared" si="2"/>
        <v>No</v>
      </c>
      <c r="H86" s="35" t="str">
        <f>IFERROR(INDEX('Player Board'!$H$4:$H$163,MATCH(E86,'Player Board'!$B$4:$B$163,0)),"")</f>
        <v/>
      </c>
      <c r="I86" s="34" t="str">
        <f>IF(E86="","",IFERROR(A86-INDEX('Player Board'!$Q$4:$Q$163,MATCH(E86,'Player Board'!$B$4:$B$163,0)),""))</f>
        <v/>
      </c>
      <c r="J86" s="35"/>
      <c r="K86" s="35" t="str">
        <f>IF(OR(D86&lt;&gt;"Noah",E86=""),"",F86&amp;"-"&amp;COUNTIFS($D$4:D86,"Noah",$F$4:F86,F86,$E$4:E86,"&lt;&gt;"))</f>
        <v/>
      </c>
      <c r="L86" s="35"/>
      <c r="M86" s="35"/>
      <c r="N86" s="35"/>
      <c r="O86" s="35"/>
      <c r="P86" s="35"/>
      <c r="Q86" s="35"/>
      <c r="R86" s="94">
        <f>IF(E86="",0,IFERROR(IF(INDEX('Player Board'!$H$4:$H$163,MATCH(E86,'Player Board'!$B$4:$B$163,0))&lt;=20,4.5,IF(INDEX('Player Board'!$H$4:$H$163,MATCH(E86,'Player Board'!$B$4:$B$163,0))&lt;=40,3.5,IF(INDEX('Player Board'!$H$4:$H$163,MATCH(E86,'Player Board'!$B$4:$B$163,0))&lt;=70,2.5,IF(INDEX('Player Board'!$H$4:$H$163,MATCH(E86,'Player Board'!$B$4:$B$163,0))&lt;=110,1.5,1)))),1))</f>
        <v>0</v>
      </c>
      <c r="S86" s="2"/>
      <c r="T86" s="2"/>
      <c r="U86" s="2"/>
      <c r="V86" s="2"/>
      <c r="W86" s="2"/>
      <c r="X86" s="2"/>
      <c r="Y86" s="2"/>
      <c r="Z86" s="2"/>
    </row>
    <row r="87" spans="1:26" ht="11" customHeight="1">
      <c r="A87" s="35">
        <v>84</v>
      </c>
      <c r="B87" s="35">
        <v>11</v>
      </c>
      <c r="C87" s="35">
        <v>4</v>
      </c>
      <c r="D87" s="35"/>
      <c r="E87" s="35"/>
      <c r="F87" s="35" t="str">
        <f>IFERROR(INDEX('Player Board'!$C$4:$C$163,MATCH(E87,'Player Board'!$B$4:$B$163,0)),"")</f>
        <v/>
      </c>
      <c r="G87" s="35" t="str">
        <f t="shared" si="2"/>
        <v>No</v>
      </c>
      <c r="H87" s="35" t="str">
        <f>IFERROR(INDEX('Player Board'!$H$4:$H$163,MATCH(E87,'Player Board'!$B$4:$B$163,0)),"")</f>
        <v/>
      </c>
      <c r="I87" s="34" t="str">
        <f>IF(E87="","",IFERROR(A87-INDEX('Player Board'!$Q$4:$Q$163,MATCH(E87,'Player Board'!$B$4:$B$163,0)),""))</f>
        <v/>
      </c>
      <c r="J87" s="35"/>
      <c r="K87" s="35" t="str">
        <f>IF(OR(D87&lt;&gt;"Noah",E87=""),"",F87&amp;"-"&amp;COUNTIFS($D$4:D87,"Noah",$F$4:F87,F87,$E$4:E87,"&lt;&gt;"))</f>
        <v/>
      </c>
      <c r="L87" s="35"/>
      <c r="M87" s="35"/>
      <c r="N87" s="35"/>
      <c r="O87" s="35"/>
      <c r="P87" s="35"/>
      <c r="Q87" s="35"/>
      <c r="R87" s="94">
        <f>IF(E87="",0,IFERROR(IF(INDEX('Player Board'!$H$4:$H$163,MATCH(E87,'Player Board'!$B$4:$B$163,0))&lt;=20,4.5,IF(INDEX('Player Board'!$H$4:$H$163,MATCH(E87,'Player Board'!$B$4:$B$163,0))&lt;=40,3.5,IF(INDEX('Player Board'!$H$4:$H$163,MATCH(E87,'Player Board'!$B$4:$B$163,0))&lt;=70,2.5,IF(INDEX('Player Board'!$H$4:$H$163,MATCH(E87,'Player Board'!$B$4:$B$163,0))&lt;=110,1.5,1)))),1))</f>
        <v>0</v>
      </c>
      <c r="S87" s="2"/>
      <c r="T87" s="2"/>
      <c r="U87" s="2"/>
      <c r="V87" s="2"/>
      <c r="W87" s="2"/>
      <c r="X87" s="2"/>
      <c r="Y87" s="2"/>
      <c r="Z87" s="2"/>
    </row>
    <row r="88" spans="1:26" ht="11" customHeight="1">
      <c r="A88" s="35">
        <v>85</v>
      </c>
      <c r="B88" s="35">
        <v>11</v>
      </c>
      <c r="C88" s="35">
        <v>5</v>
      </c>
      <c r="D88" s="35" t="s">
        <v>1</v>
      </c>
      <c r="E88" s="35"/>
      <c r="F88" s="35" t="str">
        <f>IFERROR(INDEX('Player Board'!$C$4:$C$163,MATCH(E88,'Player Board'!$B$4:$B$163,0)),"")</f>
        <v/>
      </c>
      <c r="G88" s="35" t="str">
        <f t="shared" si="2"/>
        <v>Yes</v>
      </c>
      <c r="H88" s="35" t="str">
        <f>IFERROR(INDEX('Player Board'!$H$4:$H$163,MATCH(E88,'Player Board'!$B$4:$B$163,0)),"")</f>
        <v/>
      </c>
      <c r="I88" s="34" t="str">
        <f>IF(E88="","",IFERROR(A88-INDEX('Player Board'!$Q$4:$Q$163,MATCH(E88,'Player Board'!$B$4:$B$163,0)),""))</f>
        <v/>
      </c>
      <c r="J88" s="35"/>
      <c r="K88" s="35" t="str">
        <f>IF(OR(D88&lt;&gt;"Noah",E88=""),"",F88&amp;"-"&amp;COUNTIFS($D$4:D88,"Noah",$F$4:F88,F88,$E$4:E88,"&lt;&gt;"))</f>
        <v/>
      </c>
      <c r="L88" s="35"/>
      <c r="M88" s="35"/>
      <c r="N88" s="35"/>
      <c r="O88" s="35"/>
      <c r="P88" s="35"/>
      <c r="Q88" s="35"/>
      <c r="R88" s="94">
        <f>IF(E88="",0,IFERROR(IF(INDEX('Player Board'!$H$4:$H$163,MATCH(E88,'Player Board'!$B$4:$B$163,0))&lt;=20,4.5,IF(INDEX('Player Board'!$H$4:$H$163,MATCH(E88,'Player Board'!$B$4:$B$163,0))&lt;=40,3.5,IF(INDEX('Player Board'!$H$4:$H$163,MATCH(E88,'Player Board'!$B$4:$B$163,0))&lt;=70,2.5,IF(INDEX('Player Board'!$H$4:$H$163,MATCH(E88,'Player Board'!$B$4:$B$163,0))&lt;=110,1.5,1)))),1))</f>
        <v>0</v>
      </c>
      <c r="S88" s="2"/>
      <c r="T88" s="2"/>
      <c r="U88" s="2"/>
      <c r="V88" s="2"/>
      <c r="W88" s="2"/>
      <c r="X88" s="2"/>
      <c r="Y88" s="2"/>
      <c r="Z88" s="2"/>
    </row>
    <row r="89" spans="1:26" ht="11" customHeight="1">
      <c r="A89" s="35">
        <v>86</v>
      </c>
      <c r="B89" s="35">
        <v>11</v>
      </c>
      <c r="C89" s="35">
        <v>6</v>
      </c>
      <c r="D89" s="35"/>
      <c r="E89" s="35"/>
      <c r="F89" s="35" t="str">
        <f>IFERROR(INDEX('Player Board'!$C$4:$C$163,MATCH(E89,'Player Board'!$B$4:$B$163,0)),"")</f>
        <v/>
      </c>
      <c r="G89" s="35" t="str">
        <f t="shared" si="2"/>
        <v>No</v>
      </c>
      <c r="H89" s="35" t="str">
        <f>IFERROR(INDEX('Player Board'!$H$4:$H$163,MATCH(E89,'Player Board'!$B$4:$B$163,0)),"")</f>
        <v/>
      </c>
      <c r="I89" s="34" t="str">
        <f>IF(E89="","",IFERROR(A89-INDEX('Player Board'!$Q$4:$Q$163,MATCH(E89,'Player Board'!$B$4:$B$163,0)),""))</f>
        <v/>
      </c>
      <c r="J89" s="35"/>
      <c r="K89" s="35" t="str">
        <f>IF(OR(D89&lt;&gt;"Noah",E89=""),"",F89&amp;"-"&amp;COUNTIFS($D$4:D89,"Noah",$F$4:F89,F89,$E$4:E89,"&lt;&gt;"))</f>
        <v/>
      </c>
      <c r="L89" s="35"/>
      <c r="M89" s="35"/>
      <c r="N89" s="35"/>
      <c r="O89" s="35"/>
      <c r="P89" s="35"/>
      <c r="Q89" s="35"/>
      <c r="R89" s="94">
        <f>IF(E89="",0,IFERROR(IF(INDEX('Player Board'!$H$4:$H$163,MATCH(E89,'Player Board'!$B$4:$B$163,0))&lt;=20,4.5,IF(INDEX('Player Board'!$H$4:$H$163,MATCH(E89,'Player Board'!$B$4:$B$163,0))&lt;=40,3.5,IF(INDEX('Player Board'!$H$4:$H$163,MATCH(E89,'Player Board'!$B$4:$B$163,0))&lt;=70,2.5,IF(INDEX('Player Board'!$H$4:$H$163,MATCH(E89,'Player Board'!$B$4:$B$163,0))&lt;=110,1.5,1)))),1))</f>
        <v>0</v>
      </c>
      <c r="S89" s="2"/>
      <c r="T89" s="2"/>
      <c r="U89" s="2"/>
      <c r="V89" s="2"/>
      <c r="W89" s="2"/>
      <c r="X89" s="2"/>
      <c r="Y89" s="2"/>
      <c r="Z89" s="2"/>
    </row>
    <row r="90" spans="1:26" ht="11" customHeight="1">
      <c r="A90" s="35">
        <v>87</v>
      </c>
      <c r="B90" s="35">
        <v>11</v>
      </c>
      <c r="C90" s="35">
        <v>7</v>
      </c>
      <c r="D90" s="35"/>
      <c r="E90" s="35"/>
      <c r="F90" s="35" t="str">
        <f>IFERROR(INDEX('Player Board'!$C$4:$C$163,MATCH(E90,'Player Board'!$B$4:$B$163,0)),"")</f>
        <v/>
      </c>
      <c r="G90" s="35" t="str">
        <f t="shared" si="2"/>
        <v>No</v>
      </c>
      <c r="H90" s="35" t="str">
        <f>IFERROR(INDEX('Player Board'!$H$4:$H$163,MATCH(E90,'Player Board'!$B$4:$B$163,0)),"")</f>
        <v/>
      </c>
      <c r="I90" s="34" t="str">
        <f>IF(E90="","",IFERROR(A90-INDEX('Player Board'!$Q$4:$Q$163,MATCH(E90,'Player Board'!$B$4:$B$163,0)),""))</f>
        <v/>
      </c>
      <c r="J90" s="35"/>
      <c r="K90" s="35" t="str">
        <f>IF(OR(D90&lt;&gt;"Noah",E90=""),"",F90&amp;"-"&amp;COUNTIFS($D$4:D90,"Noah",$F$4:F90,F90,$E$4:E90,"&lt;&gt;"))</f>
        <v/>
      </c>
      <c r="L90" s="35"/>
      <c r="M90" s="35"/>
      <c r="N90" s="35"/>
      <c r="O90" s="35"/>
      <c r="P90" s="35"/>
      <c r="Q90" s="35"/>
      <c r="R90" s="94">
        <f>IF(E90="",0,IFERROR(IF(INDEX('Player Board'!$H$4:$H$163,MATCH(E90,'Player Board'!$B$4:$B$163,0))&lt;=20,4.5,IF(INDEX('Player Board'!$H$4:$H$163,MATCH(E90,'Player Board'!$B$4:$B$163,0))&lt;=40,3.5,IF(INDEX('Player Board'!$H$4:$H$163,MATCH(E90,'Player Board'!$B$4:$B$163,0))&lt;=70,2.5,IF(INDEX('Player Board'!$H$4:$H$163,MATCH(E90,'Player Board'!$B$4:$B$163,0))&lt;=110,1.5,1)))),1))</f>
        <v>0</v>
      </c>
      <c r="S90" s="2"/>
      <c r="T90" s="2"/>
      <c r="U90" s="2"/>
      <c r="V90" s="2"/>
      <c r="W90" s="2"/>
      <c r="X90" s="2"/>
      <c r="Y90" s="2"/>
      <c r="Z90" s="2"/>
    </row>
    <row r="91" spans="1:26" ht="11" customHeight="1">
      <c r="A91" s="35">
        <v>88</v>
      </c>
      <c r="B91" s="35">
        <v>11</v>
      </c>
      <c r="C91" s="35">
        <v>8</v>
      </c>
      <c r="D91" s="35"/>
      <c r="E91" s="35"/>
      <c r="F91" s="35" t="str">
        <f>IFERROR(INDEX('Player Board'!$C$4:$C$163,MATCH(E91,'Player Board'!$B$4:$B$163,0)),"")</f>
        <v/>
      </c>
      <c r="G91" s="35" t="str">
        <f t="shared" si="2"/>
        <v>No</v>
      </c>
      <c r="H91" s="35" t="str">
        <f>IFERROR(INDEX('Player Board'!$H$4:$H$163,MATCH(E91,'Player Board'!$B$4:$B$163,0)),"")</f>
        <v/>
      </c>
      <c r="I91" s="34" t="str">
        <f>IF(E91="","",IFERROR(A91-INDEX('Player Board'!$Q$4:$Q$163,MATCH(E91,'Player Board'!$B$4:$B$163,0)),""))</f>
        <v/>
      </c>
      <c r="J91" s="35"/>
      <c r="K91" s="35" t="str">
        <f>IF(OR(D91&lt;&gt;"Noah",E91=""),"",F91&amp;"-"&amp;COUNTIFS($D$4:D91,"Noah",$F$4:F91,F91,$E$4:E91,"&lt;&gt;"))</f>
        <v/>
      </c>
      <c r="L91" s="35"/>
      <c r="M91" s="35"/>
      <c r="N91" s="35"/>
      <c r="O91" s="35"/>
      <c r="P91" s="35"/>
      <c r="Q91" s="35"/>
      <c r="R91" s="94">
        <f>IF(E91="",0,IFERROR(IF(INDEX('Player Board'!$H$4:$H$163,MATCH(E91,'Player Board'!$B$4:$B$163,0))&lt;=20,4.5,IF(INDEX('Player Board'!$H$4:$H$163,MATCH(E91,'Player Board'!$B$4:$B$163,0))&lt;=40,3.5,IF(INDEX('Player Board'!$H$4:$H$163,MATCH(E91,'Player Board'!$B$4:$B$163,0))&lt;=70,2.5,IF(INDEX('Player Board'!$H$4:$H$163,MATCH(E91,'Player Board'!$B$4:$B$163,0))&lt;=110,1.5,1)))),1))</f>
        <v>0</v>
      </c>
      <c r="S91" s="2"/>
      <c r="T91" s="2"/>
      <c r="U91" s="2"/>
      <c r="V91" s="2"/>
      <c r="W91" s="2"/>
      <c r="X91" s="2"/>
      <c r="Y91" s="2"/>
      <c r="Z91" s="2"/>
    </row>
    <row r="92" spans="1:26" ht="11" customHeight="1">
      <c r="A92" s="35">
        <v>89</v>
      </c>
      <c r="B92" s="35">
        <v>12</v>
      </c>
      <c r="C92" s="35">
        <v>1</v>
      </c>
      <c r="D92" s="35"/>
      <c r="E92" s="35"/>
      <c r="F92" s="35" t="str">
        <f>IFERROR(INDEX('Player Board'!$C$4:$C$163,MATCH(E92,'Player Board'!$B$4:$B$163,0)),"")</f>
        <v/>
      </c>
      <c r="G92" s="35" t="str">
        <f t="shared" si="2"/>
        <v>No</v>
      </c>
      <c r="H92" s="35" t="str">
        <f>IFERROR(INDEX('Player Board'!$H$4:$H$163,MATCH(E92,'Player Board'!$B$4:$B$163,0)),"")</f>
        <v/>
      </c>
      <c r="I92" s="34" t="str">
        <f>IF(E92="","",IFERROR(A92-INDEX('Player Board'!$Q$4:$Q$163,MATCH(E92,'Player Board'!$B$4:$B$163,0)),""))</f>
        <v/>
      </c>
      <c r="J92" s="35"/>
      <c r="K92" s="35" t="str">
        <f>IF(OR(D92&lt;&gt;"Noah",E92=""),"",F92&amp;"-"&amp;COUNTIFS($D$4:D92,"Noah",$F$4:F92,F92,$E$4:E92,"&lt;&gt;"))</f>
        <v/>
      </c>
      <c r="L92" s="35"/>
      <c r="M92" s="35"/>
      <c r="N92" s="35"/>
      <c r="O92" s="35"/>
      <c r="P92" s="35"/>
      <c r="Q92" s="35"/>
      <c r="R92" s="94">
        <f>IF(E92="",0,IFERROR(IF(INDEX('Player Board'!$H$4:$H$163,MATCH(E92,'Player Board'!$B$4:$B$163,0))&lt;=20,4.5,IF(INDEX('Player Board'!$H$4:$H$163,MATCH(E92,'Player Board'!$B$4:$B$163,0))&lt;=40,3.5,IF(INDEX('Player Board'!$H$4:$H$163,MATCH(E92,'Player Board'!$B$4:$B$163,0))&lt;=70,2.5,IF(INDEX('Player Board'!$H$4:$H$163,MATCH(E92,'Player Board'!$B$4:$B$163,0))&lt;=110,1.5,1)))),1))</f>
        <v>0</v>
      </c>
      <c r="S92" s="2"/>
      <c r="T92" s="2"/>
      <c r="U92" s="2"/>
      <c r="V92" s="2"/>
      <c r="W92" s="2"/>
      <c r="X92" s="2"/>
      <c r="Y92" s="2"/>
      <c r="Z92" s="2"/>
    </row>
    <row r="93" spans="1:26" ht="11" customHeight="1">
      <c r="A93" s="35">
        <v>90</v>
      </c>
      <c r="B93" s="35">
        <v>12</v>
      </c>
      <c r="C93" s="35">
        <v>2</v>
      </c>
      <c r="D93" s="35"/>
      <c r="E93" s="35"/>
      <c r="F93" s="35" t="str">
        <f>IFERROR(INDEX('Player Board'!$C$4:$C$163,MATCH(E93,'Player Board'!$B$4:$B$163,0)),"")</f>
        <v/>
      </c>
      <c r="G93" s="35" t="str">
        <f t="shared" si="2"/>
        <v>No</v>
      </c>
      <c r="H93" s="35" t="str">
        <f>IFERROR(INDEX('Player Board'!$H$4:$H$163,MATCH(E93,'Player Board'!$B$4:$B$163,0)),"")</f>
        <v/>
      </c>
      <c r="I93" s="34" t="str">
        <f>IF(E93="","",IFERROR(A93-INDEX('Player Board'!$Q$4:$Q$163,MATCH(E93,'Player Board'!$B$4:$B$163,0)),""))</f>
        <v/>
      </c>
      <c r="J93" s="35"/>
      <c r="K93" s="35" t="str">
        <f>IF(OR(D93&lt;&gt;"Noah",E93=""),"",F93&amp;"-"&amp;COUNTIFS($D$4:D93,"Noah",$F$4:F93,F93,$E$4:E93,"&lt;&gt;"))</f>
        <v/>
      </c>
      <c r="L93" s="35"/>
      <c r="M93" s="35"/>
      <c r="N93" s="35"/>
      <c r="O93" s="35"/>
      <c r="P93" s="35"/>
      <c r="Q93" s="35"/>
      <c r="R93" s="94">
        <f>IF(E93="",0,IFERROR(IF(INDEX('Player Board'!$H$4:$H$163,MATCH(E93,'Player Board'!$B$4:$B$163,0))&lt;=20,4.5,IF(INDEX('Player Board'!$H$4:$H$163,MATCH(E93,'Player Board'!$B$4:$B$163,0))&lt;=40,3.5,IF(INDEX('Player Board'!$H$4:$H$163,MATCH(E93,'Player Board'!$B$4:$B$163,0))&lt;=70,2.5,IF(INDEX('Player Board'!$H$4:$H$163,MATCH(E93,'Player Board'!$B$4:$B$163,0))&lt;=110,1.5,1)))),1))</f>
        <v>0</v>
      </c>
      <c r="S93" s="2"/>
      <c r="T93" s="2"/>
      <c r="U93" s="2"/>
      <c r="V93" s="2"/>
      <c r="W93" s="2"/>
      <c r="X93" s="2"/>
      <c r="Y93" s="2"/>
      <c r="Z93" s="2"/>
    </row>
    <row r="94" spans="1:26" ht="11" customHeight="1">
      <c r="A94" s="35">
        <v>91</v>
      </c>
      <c r="B94" s="35">
        <v>12</v>
      </c>
      <c r="C94" s="35">
        <v>3</v>
      </c>
      <c r="D94" s="35"/>
      <c r="E94" s="35"/>
      <c r="F94" s="35" t="str">
        <f>IFERROR(INDEX('Player Board'!$C$4:$C$163,MATCH(E94,'Player Board'!$B$4:$B$163,0)),"")</f>
        <v/>
      </c>
      <c r="G94" s="35" t="str">
        <f t="shared" si="2"/>
        <v>No</v>
      </c>
      <c r="H94" s="35" t="str">
        <f>IFERROR(INDEX('Player Board'!$H$4:$H$163,MATCH(E94,'Player Board'!$B$4:$B$163,0)),"")</f>
        <v/>
      </c>
      <c r="I94" s="34" t="str">
        <f>IF(E94="","",IFERROR(A94-INDEX('Player Board'!$Q$4:$Q$163,MATCH(E94,'Player Board'!$B$4:$B$163,0)),""))</f>
        <v/>
      </c>
      <c r="J94" s="35"/>
      <c r="K94" s="35" t="str">
        <f>IF(OR(D94&lt;&gt;"Noah",E94=""),"",F94&amp;"-"&amp;COUNTIFS($D$4:D94,"Noah",$F$4:F94,F94,$E$4:E94,"&lt;&gt;"))</f>
        <v/>
      </c>
      <c r="L94" s="35"/>
      <c r="M94" s="35"/>
      <c r="N94" s="35"/>
      <c r="O94" s="35"/>
      <c r="P94" s="35"/>
      <c r="Q94" s="35"/>
      <c r="R94" s="94">
        <f>IF(E94="",0,IFERROR(IF(INDEX('Player Board'!$H$4:$H$163,MATCH(E94,'Player Board'!$B$4:$B$163,0))&lt;=20,4.5,IF(INDEX('Player Board'!$H$4:$H$163,MATCH(E94,'Player Board'!$B$4:$B$163,0))&lt;=40,3.5,IF(INDEX('Player Board'!$H$4:$H$163,MATCH(E94,'Player Board'!$B$4:$B$163,0))&lt;=70,2.5,IF(INDEX('Player Board'!$H$4:$H$163,MATCH(E94,'Player Board'!$B$4:$B$163,0))&lt;=110,1.5,1)))),1))</f>
        <v>0</v>
      </c>
      <c r="S94" s="2"/>
      <c r="T94" s="2"/>
      <c r="U94" s="2"/>
      <c r="V94" s="2"/>
      <c r="W94" s="2"/>
      <c r="X94" s="2"/>
      <c r="Y94" s="2"/>
      <c r="Z94" s="2"/>
    </row>
    <row r="95" spans="1:26" ht="11" customHeight="1">
      <c r="A95" s="35">
        <v>92</v>
      </c>
      <c r="B95" s="35">
        <v>12</v>
      </c>
      <c r="C95" s="35">
        <v>4</v>
      </c>
      <c r="D95" s="35"/>
      <c r="E95" s="35"/>
      <c r="F95" s="35" t="str">
        <f>IFERROR(INDEX('Player Board'!$C$4:$C$163,MATCH(E95,'Player Board'!$B$4:$B$163,0)),"")</f>
        <v/>
      </c>
      <c r="G95" s="35" t="str">
        <f t="shared" si="2"/>
        <v>No</v>
      </c>
      <c r="H95" s="35" t="str">
        <f>IFERROR(INDEX('Player Board'!$H$4:$H$163,MATCH(E95,'Player Board'!$B$4:$B$163,0)),"")</f>
        <v/>
      </c>
      <c r="I95" s="34" t="str">
        <f>IF(E95="","",IFERROR(A95-INDEX('Player Board'!$Q$4:$Q$163,MATCH(E95,'Player Board'!$B$4:$B$163,0)),""))</f>
        <v/>
      </c>
      <c r="J95" s="35"/>
      <c r="K95" s="35" t="str">
        <f>IF(OR(D95&lt;&gt;"Noah",E95=""),"",F95&amp;"-"&amp;COUNTIFS($D$4:D95,"Noah",$F$4:F95,F95,$E$4:E95,"&lt;&gt;"))</f>
        <v/>
      </c>
      <c r="L95" s="35"/>
      <c r="M95" s="35"/>
      <c r="N95" s="35"/>
      <c r="O95" s="35"/>
      <c r="P95" s="35"/>
      <c r="Q95" s="35"/>
      <c r="R95" s="94">
        <f>IF(E95="",0,IFERROR(IF(INDEX('Player Board'!$H$4:$H$163,MATCH(E95,'Player Board'!$B$4:$B$163,0))&lt;=20,4.5,IF(INDEX('Player Board'!$H$4:$H$163,MATCH(E95,'Player Board'!$B$4:$B$163,0))&lt;=40,3.5,IF(INDEX('Player Board'!$H$4:$H$163,MATCH(E95,'Player Board'!$B$4:$B$163,0))&lt;=70,2.5,IF(INDEX('Player Board'!$H$4:$H$163,MATCH(E95,'Player Board'!$B$4:$B$163,0))&lt;=110,1.5,1)))),1))</f>
        <v>0</v>
      </c>
      <c r="S95" s="2"/>
      <c r="T95" s="2"/>
      <c r="U95" s="2"/>
      <c r="V95" s="2"/>
      <c r="W95" s="2"/>
      <c r="X95" s="2"/>
      <c r="Y95" s="2"/>
      <c r="Z95" s="2"/>
    </row>
    <row r="96" spans="1:26" ht="11" customHeight="1">
      <c r="A96" s="35">
        <v>93</v>
      </c>
      <c r="B96" s="35">
        <v>12</v>
      </c>
      <c r="C96" s="35">
        <v>5</v>
      </c>
      <c r="D96" s="35"/>
      <c r="E96" s="35"/>
      <c r="F96" s="35" t="str">
        <f>IFERROR(INDEX('Player Board'!$C$4:$C$163,MATCH(E96,'Player Board'!$B$4:$B$163,0)),"")</f>
        <v/>
      </c>
      <c r="G96" s="35" t="str">
        <f t="shared" si="2"/>
        <v>No</v>
      </c>
      <c r="H96" s="35" t="str">
        <f>IFERROR(INDEX('Player Board'!$H$4:$H$163,MATCH(E96,'Player Board'!$B$4:$B$163,0)),"")</f>
        <v/>
      </c>
      <c r="I96" s="34" t="str">
        <f>IF(E96="","",IFERROR(A96-INDEX('Player Board'!$Q$4:$Q$163,MATCH(E96,'Player Board'!$B$4:$B$163,0)),""))</f>
        <v/>
      </c>
      <c r="J96" s="35"/>
      <c r="K96" s="35" t="str">
        <f>IF(OR(D96&lt;&gt;"Noah",E96=""),"",F96&amp;"-"&amp;COUNTIFS($D$4:D96,"Noah",$F$4:F96,F96,$E$4:E96,"&lt;&gt;"))</f>
        <v/>
      </c>
      <c r="L96" s="35"/>
      <c r="M96" s="35"/>
      <c r="N96" s="35"/>
      <c r="O96" s="35"/>
      <c r="P96" s="35"/>
      <c r="Q96" s="35"/>
      <c r="R96" s="94">
        <f>IF(E96="",0,IFERROR(IF(INDEX('Player Board'!$H$4:$H$163,MATCH(E96,'Player Board'!$B$4:$B$163,0))&lt;=20,4.5,IF(INDEX('Player Board'!$H$4:$H$163,MATCH(E96,'Player Board'!$B$4:$B$163,0))&lt;=40,3.5,IF(INDEX('Player Board'!$H$4:$H$163,MATCH(E96,'Player Board'!$B$4:$B$163,0))&lt;=70,2.5,IF(INDEX('Player Board'!$H$4:$H$163,MATCH(E96,'Player Board'!$B$4:$B$163,0))&lt;=110,1.5,1)))),1))</f>
        <v>0</v>
      </c>
      <c r="S96" s="2"/>
      <c r="T96" s="2"/>
      <c r="U96" s="2"/>
      <c r="V96" s="2"/>
      <c r="W96" s="2"/>
      <c r="X96" s="2"/>
      <c r="Y96" s="2"/>
      <c r="Z96" s="2"/>
    </row>
    <row r="97" spans="1:26" ht="11" customHeight="1">
      <c r="A97" s="35">
        <v>94</v>
      </c>
      <c r="B97" s="35">
        <v>12</v>
      </c>
      <c r="C97" s="35">
        <v>6</v>
      </c>
      <c r="D97" s="35"/>
      <c r="E97" s="35"/>
      <c r="F97" s="35" t="str">
        <f>IFERROR(INDEX('Player Board'!$C$4:$C$163,MATCH(E97,'Player Board'!$B$4:$B$163,0)),"")</f>
        <v/>
      </c>
      <c r="G97" s="35" t="str">
        <f t="shared" si="2"/>
        <v>No</v>
      </c>
      <c r="H97" s="35" t="str">
        <f>IFERROR(INDEX('Player Board'!$H$4:$H$163,MATCH(E97,'Player Board'!$B$4:$B$163,0)),"")</f>
        <v/>
      </c>
      <c r="I97" s="34" t="str">
        <f>IF(E97="","",IFERROR(A97-INDEX('Player Board'!$Q$4:$Q$163,MATCH(E97,'Player Board'!$B$4:$B$163,0)),""))</f>
        <v/>
      </c>
      <c r="J97" s="35"/>
      <c r="K97" s="35" t="str">
        <f>IF(OR(D97&lt;&gt;"Noah",E97=""),"",F97&amp;"-"&amp;COUNTIFS($D$4:D97,"Noah",$F$4:F97,F97,$E$4:E97,"&lt;&gt;"))</f>
        <v/>
      </c>
      <c r="L97" s="35"/>
      <c r="M97" s="35"/>
      <c r="N97" s="35"/>
      <c r="O97" s="35"/>
      <c r="P97" s="35"/>
      <c r="Q97" s="35"/>
      <c r="R97" s="94">
        <f>IF(E97="",0,IFERROR(IF(INDEX('Player Board'!$H$4:$H$163,MATCH(E97,'Player Board'!$B$4:$B$163,0))&lt;=20,4.5,IF(INDEX('Player Board'!$H$4:$H$163,MATCH(E97,'Player Board'!$B$4:$B$163,0))&lt;=40,3.5,IF(INDEX('Player Board'!$H$4:$H$163,MATCH(E97,'Player Board'!$B$4:$B$163,0))&lt;=70,2.5,IF(INDEX('Player Board'!$H$4:$H$163,MATCH(E97,'Player Board'!$B$4:$B$163,0))&lt;=110,1.5,1)))),1))</f>
        <v>0</v>
      </c>
      <c r="S97" s="2"/>
      <c r="T97" s="2"/>
      <c r="U97" s="2"/>
      <c r="V97" s="2"/>
      <c r="W97" s="2"/>
      <c r="X97" s="2"/>
      <c r="Y97" s="2"/>
      <c r="Z97" s="2"/>
    </row>
    <row r="98" spans="1:26" ht="11" customHeight="1">
      <c r="A98" s="35">
        <v>95</v>
      </c>
      <c r="B98" s="35">
        <v>12</v>
      </c>
      <c r="C98" s="35">
        <v>7</v>
      </c>
      <c r="D98" s="35"/>
      <c r="E98" s="35"/>
      <c r="F98" s="35" t="str">
        <f>IFERROR(INDEX('Player Board'!$C$4:$C$163,MATCH(E98,'Player Board'!$B$4:$B$163,0)),"")</f>
        <v/>
      </c>
      <c r="G98" s="35" t="str">
        <f t="shared" si="2"/>
        <v>No</v>
      </c>
      <c r="H98" s="35" t="str">
        <f>IFERROR(INDEX('Player Board'!$H$4:$H$163,MATCH(E98,'Player Board'!$B$4:$B$163,0)),"")</f>
        <v/>
      </c>
      <c r="I98" s="34" t="str">
        <f>IF(E98="","",IFERROR(A98-INDEX('Player Board'!$Q$4:$Q$163,MATCH(E98,'Player Board'!$B$4:$B$163,0)),""))</f>
        <v/>
      </c>
      <c r="J98" s="35"/>
      <c r="K98" s="35" t="str">
        <f>IF(OR(D98&lt;&gt;"Noah",E98=""),"",F98&amp;"-"&amp;COUNTIFS($D$4:D98,"Noah",$F$4:F98,F98,$E$4:E98,"&lt;&gt;"))</f>
        <v/>
      </c>
      <c r="L98" s="35"/>
      <c r="M98" s="35"/>
      <c r="N98" s="35"/>
      <c r="O98" s="35"/>
      <c r="P98" s="35"/>
      <c r="Q98" s="35"/>
      <c r="R98" s="94">
        <f>IF(E98="",0,IFERROR(IF(INDEX('Player Board'!$H$4:$H$163,MATCH(E98,'Player Board'!$B$4:$B$163,0))&lt;=20,4.5,IF(INDEX('Player Board'!$H$4:$H$163,MATCH(E98,'Player Board'!$B$4:$B$163,0))&lt;=40,3.5,IF(INDEX('Player Board'!$H$4:$H$163,MATCH(E98,'Player Board'!$B$4:$B$163,0))&lt;=70,2.5,IF(INDEX('Player Board'!$H$4:$H$163,MATCH(E98,'Player Board'!$B$4:$B$163,0))&lt;=110,1.5,1)))),1))</f>
        <v>0</v>
      </c>
      <c r="S98" s="2"/>
      <c r="T98" s="2"/>
      <c r="U98" s="2"/>
      <c r="V98" s="2"/>
      <c r="W98" s="2"/>
      <c r="X98" s="2"/>
      <c r="Y98" s="2"/>
      <c r="Z98" s="2"/>
    </row>
    <row r="99" spans="1:26" ht="11" customHeight="1">
      <c r="A99" s="35">
        <v>96</v>
      </c>
      <c r="B99" s="35">
        <v>12</v>
      </c>
      <c r="C99" s="35">
        <v>8</v>
      </c>
      <c r="D99" s="35"/>
      <c r="E99" s="35"/>
      <c r="F99" s="35" t="str">
        <f>IFERROR(INDEX('Player Board'!$C$4:$C$163,MATCH(E99,'Player Board'!$B$4:$B$163,0)),"")</f>
        <v/>
      </c>
      <c r="G99" s="35" t="str">
        <f t="shared" si="2"/>
        <v>No</v>
      </c>
      <c r="H99" s="35" t="str">
        <f>IFERROR(INDEX('Player Board'!$H$4:$H$163,MATCH(E99,'Player Board'!$B$4:$B$163,0)),"")</f>
        <v/>
      </c>
      <c r="I99" s="34" t="str">
        <f>IF(E99="","",IFERROR(A99-INDEX('Player Board'!$Q$4:$Q$163,MATCH(E99,'Player Board'!$B$4:$B$163,0)),""))</f>
        <v/>
      </c>
      <c r="J99" s="35"/>
      <c r="K99" s="35" t="str">
        <f>IF(OR(D99&lt;&gt;"Noah",E99=""),"",F99&amp;"-"&amp;COUNTIFS($D$4:D99,"Noah",$F$4:F99,F99,$E$4:E99,"&lt;&gt;"))</f>
        <v/>
      </c>
      <c r="L99" s="35"/>
      <c r="M99" s="35"/>
      <c r="N99" s="35"/>
      <c r="O99" s="35"/>
      <c r="P99" s="35"/>
      <c r="Q99" s="35"/>
      <c r="R99" s="94">
        <f>IF(E99="",0,IFERROR(IF(INDEX('Player Board'!$H$4:$H$163,MATCH(E99,'Player Board'!$B$4:$B$163,0))&lt;=20,4.5,IF(INDEX('Player Board'!$H$4:$H$163,MATCH(E99,'Player Board'!$B$4:$B$163,0))&lt;=40,3.5,IF(INDEX('Player Board'!$H$4:$H$163,MATCH(E99,'Player Board'!$B$4:$B$163,0))&lt;=70,2.5,IF(INDEX('Player Board'!$H$4:$H$163,MATCH(E99,'Player Board'!$B$4:$B$163,0))&lt;=110,1.5,1)))),1))</f>
        <v>0</v>
      </c>
      <c r="S99" s="2"/>
      <c r="T99" s="2"/>
      <c r="U99" s="2"/>
      <c r="V99" s="2"/>
      <c r="W99" s="2"/>
      <c r="X99" s="2"/>
      <c r="Y99" s="2"/>
      <c r="Z99" s="2"/>
    </row>
    <row r="100" spans="1:26" ht="11" customHeight="1">
      <c r="A100" s="35">
        <v>97</v>
      </c>
      <c r="B100" s="35">
        <v>13</v>
      </c>
      <c r="C100" s="35">
        <v>1</v>
      </c>
      <c r="D100" s="35"/>
      <c r="E100" s="35"/>
      <c r="F100" s="35" t="str">
        <f>IFERROR(INDEX('Player Board'!$C$4:$C$163,MATCH(E100,'Player Board'!$B$4:$B$163,0)),"")</f>
        <v/>
      </c>
      <c r="G100" s="35" t="str">
        <f t="shared" ref="G100:G131" si="3">IF(D100="Noah","Yes","No")</f>
        <v>No</v>
      </c>
      <c r="H100" s="35" t="str">
        <f>IFERROR(INDEX('Player Board'!$H$4:$H$163,MATCH(E100,'Player Board'!$B$4:$B$163,0)),"")</f>
        <v/>
      </c>
      <c r="I100" s="34" t="str">
        <f>IF(E100="","",IFERROR(A100-INDEX('Player Board'!$Q$4:$Q$163,MATCH(E100,'Player Board'!$B$4:$B$163,0)),""))</f>
        <v/>
      </c>
      <c r="J100" s="35"/>
      <c r="K100" s="35" t="str">
        <f>IF(OR(D100&lt;&gt;"Noah",E100=""),"",F100&amp;"-"&amp;COUNTIFS($D$4:D100,"Noah",$F$4:F100,F100,$E$4:E100,"&lt;&gt;"))</f>
        <v/>
      </c>
      <c r="L100" s="35"/>
      <c r="M100" s="35"/>
      <c r="N100" s="35"/>
      <c r="O100" s="35"/>
      <c r="P100" s="35"/>
      <c r="Q100" s="35"/>
      <c r="R100" s="94">
        <f>IF(E100="",0,IFERROR(IF(INDEX('Player Board'!$H$4:$H$163,MATCH(E100,'Player Board'!$B$4:$B$163,0))&lt;=20,4.5,IF(INDEX('Player Board'!$H$4:$H$163,MATCH(E100,'Player Board'!$B$4:$B$163,0))&lt;=40,3.5,IF(INDEX('Player Board'!$H$4:$H$163,MATCH(E100,'Player Board'!$B$4:$B$163,0))&lt;=70,2.5,IF(INDEX('Player Board'!$H$4:$H$163,MATCH(E100,'Player Board'!$B$4:$B$163,0))&lt;=110,1.5,1)))),1))</f>
        <v>0</v>
      </c>
      <c r="S100" s="2"/>
      <c r="T100" s="2"/>
      <c r="U100" s="2"/>
      <c r="V100" s="2"/>
      <c r="W100" s="2"/>
      <c r="X100" s="2"/>
      <c r="Y100" s="2"/>
      <c r="Z100" s="2"/>
    </row>
    <row r="101" spans="1:26" ht="11" customHeight="1">
      <c r="A101" s="35">
        <v>98</v>
      </c>
      <c r="B101" s="35">
        <v>13</v>
      </c>
      <c r="C101" s="35">
        <v>2</v>
      </c>
      <c r="D101" s="35"/>
      <c r="E101" s="35"/>
      <c r="F101" s="35" t="str">
        <f>IFERROR(INDEX('Player Board'!$C$4:$C$163,MATCH(E101,'Player Board'!$B$4:$B$163,0)),"")</f>
        <v/>
      </c>
      <c r="G101" s="35" t="str">
        <f t="shared" si="3"/>
        <v>No</v>
      </c>
      <c r="H101" s="35" t="str">
        <f>IFERROR(INDEX('Player Board'!$H$4:$H$163,MATCH(E101,'Player Board'!$B$4:$B$163,0)),"")</f>
        <v/>
      </c>
      <c r="I101" s="34" t="str">
        <f>IF(E101="","",IFERROR(A101-INDEX('Player Board'!$Q$4:$Q$163,MATCH(E101,'Player Board'!$B$4:$B$163,0)),""))</f>
        <v/>
      </c>
      <c r="J101" s="35"/>
      <c r="K101" s="35" t="str">
        <f>IF(OR(D101&lt;&gt;"Noah",E101=""),"",F101&amp;"-"&amp;COUNTIFS($D$4:D101,"Noah",$F$4:F101,F101,$E$4:E101,"&lt;&gt;"))</f>
        <v/>
      </c>
      <c r="L101" s="35"/>
      <c r="M101" s="35"/>
      <c r="N101" s="35"/>
      <c r="O101" s="35"/>
      <c r="P101" s="35"/>
      <c r="Q101" s="35"/>
      <c r="R101" s="94">
        <f>IF(E101="",0,IFERROR(IF(INDEX('Player Board'!$H$4:$H$163,MATCH(E101,'Player Board'!$B$4:$B$163,0))&lt;=20,4.5,IF(INDEX('Player Board'!$H$4:$H$163,MATCH(E101,'Player Board'!$B$4:$B$163,0))&lt;=40,3.5,IF(INDEX('Player Board'!$H$4:$H$163,MATCH(E101,'Player Board'!$B$4:$B$163,0))&lt;=70,2.5,IF(INDEX('Player Board'!$H$4:$H$163,MATCH(E101,'Player Board'!$B$4:$B$163,0))&lt;=110,1.5,1)))),1))</f>
        <v>0</v>
      </c>
      <c r="S101" s="2"/>
      <c r="T101" s="2"/>
      <c r="U101" s="2"/>
      <c r="V101" s="2"/>
      <c r="W101" s="2"/>
      <c r="X101" s="2"/>
      <c r="Y101" s="2"/>
      <c r="Z101" s="2"/>
    </row>
    <row r="102" spans="1:26" ht="11" customHeight="1">
      <c r="A102" s="35">
        <v>99</v>
      </c>
      <c r="B102" s="35">
        <v>13</v>
      </c>
      <c r="C102" s="35">
        <v>3</v>
      </c>
      <c r="D102" s="35"/>
      <c r="E102" s="35"/>
      <c r="F102" s="35" t="str">
        <f>IFERROR(INDEX('Player Board'!$C$4:$C$163,MATCH(E102,'Player Board'!$B$4:$B$163,0)),"")</f>
        <v/>
      </c>
      <c r="G102" s="35" t="str">
        <f t="shared" si="3"/>
        <v>No</v>
      </c>
      <c r="H102" s="35" t="str">
        <f>IFERROR(INDEX('Player Board'!$H$4:$H$163,MATCH(E102,'Player Board'!$B$4:$B$163,0)),"")</f>
        <v/>
      </c>
      <c r="I102" s="34" t="str">
        <f>IF(E102="","",IFERROR(A102-INDEX('Player Board'!$Q$4:$Q$163,MATCH(E102,'Player Board'!$B$4:$B$163,0)),""))</f>
        <v/>
      </c>
      <c r="J102" s="35"/>
      <c r="K102" s="35" t="str">
        <f>IF(OR(D102&lt;&gt;"Noah",E102=""),"",F102&amp;"-"&amp;COUNTIFS($D$4:D102,"Noah",$F$4:F102,F102,$E$4:E102,"&lt;&gt;"))</f>
        <v/>
      </c>
      <c r="L102" s="35"/>
      <c r="M102" s="35"/>
      <c r="N102" s="35"/>
      <c r="O102" s="35"/>
      <c r="P102" s="35"/>
      <c r="Q102" s="35"/>
      <c r="R102" s="94">
        <f>IF(E102="",0,IFERROR(IF(INDEX('Player Board'!$H$4:$H$163,MATCH(E102,'Player Board'!$B$4:$B$163,0))&lt;=20,4.5,IF(INDEX('Player Board'!$H$4:$H$163,MATCH(E102,'Player Board'!$B$4:$B$163,0))&lt;=40,3.5,IF(INDEX('Player Board'!$H$4:$H$163,MATCH(E102,'Player Board'!$B$4:$B$163,0))&lt;=70,2.5,IF(INDEX('Player Board'!$H$4:$H$163,MATCH(E102,'Player Board'!$B$4:$B$163,0))&lt;=110,1.5,1)))),1))</f>
        <v>0</v>
      </c>
      <c r="S102" s="2"/>
      <c r="T102" s="2"/>
      <c r="U102" s="2"/>
      <c r="V102" s="2"/>
      <c r="W102" s="2"/>
      <c r="X102" s="2"/>
      <c r="Y102" s="2"/>
      <c r="Z102" s="2"/>
    </row>
    <row r="103" spans="1:26" ht="11" customHeight="1">
      <c r="A103" s="35">
        <v>100</v>
      </c>
      <c r="B103" s="35">
        <v>13</v>
      </c>
      <c r="C103" s="35">
        <v>4</v>
      </c>
      <c r="D103" s="35"/>
      <c r="E103" s="35"/>
      <c r="F103" s="35" t="str">
        <f>IFERROR(INDEX('Player Board'!$C$4:$C$163,MATCH(E103,'Player Board'!$B$4:$B$163,0)),"")</f>
        <v/>
      </c>
      <c r="G103" s="35" t="str">
        <f t="shared" si="3"/>
        <v>No</v>
      </c>
      <c r="H103" s="35" t="str">
        <f>IFERROR(INDEX('Player Board'!$H$4:$H$163,MATCH(E103,'Player Board'!$B$4:$B$163,0)),"")</f>
        <v/>
      </c>
      <c r="I103" s="34" t="str">
        <f>IF(E103="","",IFERROR(A103-INDEX('Player Board'!$Q$4:$Q$163,MATCH(E103,'Player Board'!$B$4:$B$163,0)),""))</f>
        <v/>
      </c>
      <c r="J103" s="35"/>
      <c r="K103" s="35" t="str">
        <f>IF(OR(D103&lt;&gt;"Noah",E103=""),"",F103&amp;"-"&amp;COUNTIFS($D$4:D103,"Noah",$F$4:F103,F103,$E$4:E103,"&lt;&gt;"))</f>
        <v/>
      </c>
      <c r="L103" s="35"/>
      <c r="M103" s="35"/>
      <c r="N103" s="35"/>
      <c r="O103" s="35"/>
      <c r="P103" s="35"/>
      <c r="Q103" s="35"/>
      <c r="R103" s="94">
        <f>IF(E103="",0,IFERROR(IF(INDEX('Player Board'!$H$4:$H$163,MATCH(E103,'Player Board'!$B$4:$B$163,0))&lt;=20,4.5,IF(INDEX('Player Board'!$H$4:$H$163,MATCH(E103,'Player Board'!$B$4:$B$163,0))&lt;=40,3.5,IF(INDEX('Player Board'!$H$4:$H$163,MATCH(E103,'Player Board'!$B$4:$B$163,0))&lt;=70,2.5,IF(INDEX('Player Board'!$H$4:$H$163,MATCH(E103,'Player Board'!$B$4:$B$163,0))&lt;=110,1.5,1)))),1))</f>
        <v>0</v>
      </c>
      <c r="S103" s="2"/>
      <c r="T103" s="2"/>
      <c r="U103" s="2"/>
      <c r="V103" s="2"/>
      <c r="W103" s="2"/>
      <c r="X103" s="2"/>
      <c r="Y103" s="2"/>
      <c r="Z103" s="2"/>
    </row>
    <row r="104" spans="1:26" ht="11" customHeight="1">
      <c r="A104" s="35">
        <v>101</v>
      </c>
      <c r="B104" s="35">
        <v>13</v>
      </c>
      <c r="C104" s="35">
        <v>5</v>
      </c>
      <c r="D104" s="35"/>
      <c r="E104" s="35"/>
      <c r="F104" s="35" t="str">
        <f>IFERROR(INDEX('Player Board'!$C$4:$C$163,MATCH(E104,'Player Board'!$B$4:$B$163,0)),"")</f>
        <v/>
      </c>
      <c r="G104" s="35" t="str">
        <f t="shared" si="3"/>
        <v>No</v>
      </c>
      <c r="H104" s="35" t="str">
        <f>IFERROR(INDEX('Player Board'!$H$4:$H$163,MATCH(E104,'Player Board'!$B$4:$B$163,0)),"")</f>
        <v/>
      </c>
      <c r="I104" s="34" t="str">
        <f>IF(E104="","",IFERROR(A104-INDEX('Player Board'!$Q$4:$Q$163,MATCH(E104,'Player Board'!$B$4:$B$163,0)),""))</f>
        <v/>
      </c>
      <c r="J104" s="35"/>
      <c r="K104" s="35" t="str">
        <f>IF(OR(D104&lt;&gt;"Noah",E104=""),"",F104&amp;"-"&amp;COUNTIFS($D$4:D104,"Noah",$F$4:F104,F104,$E$4:E104,"&lt;&gt;"))</f>
        <v/>
      </c>
      <c r="L104" s="35"/>
      <c r="M104" s="35"/>
      <c r="N104" s="35"/>
      <c r="O104" s="35"/>
      <c r="P104" s="35"/>
      <c r="Q104" s="35"/>
      <c r="R104" s="94">
        <f>IF(E104="",0,IFERROR(IF(INDEX('Player Board'!$H$4:$H$163,MATCH(E104,'Player Board'!$B$4:$B$163,0))&lt;=20,4.5,IF(INDEX('Player Board'!$H$4:$H$163,MATCH(E104,'Player Board'!$B$4:$B$163,0))&lt;=40,3.5,IF(INDEX('Player Board'!$H$4:$H$163,MATCH(E104,'Player Board'!$B$4:$B$163,0))&lt;=70,2.5,IF(INDEX('Player Board'!$H$4:$H$163,MATCH(E104,'Player Board'!$B$4:$B$163,0))&lt;=110,1.5,1)))),1))</f>
        <v>0</v>
      </c>
      <c r="S104" s="2"/>
      <c r="T104" s="2"/>
      <c r="U104" s="2"/>
      <c r="V104" s="2"/>
      <c r="W104" s="2"/>
      <c r="X104" s="2"/>
      <c r="Y104" s="2"/>
      <c r="Z104" s="2"/>
    </row>
    <row r="105" spans="1:26" ht="11" customHeight="1">
      <c r="A105" s="35">
        <v>102</v>
      </c>
      <c r="B105" s="35">
        <v>13</v>
      </c>
      <c r="C105" s="35">
        <v>6</v>
      </c>
      <c r="D105" s="35"/>
      <c r="E105" s="35"/>
      <c r="F105" s="35" t="str">
        <f>IFERROR(INDEX('Player Board'!$C$4:$C$163,MATCH(E105,'Player Board'!$B$4:$B$163,0)),"")</f>
        <v/>
      </c>
      <c r="G105" s="35" t="str">
        <f t="shared" si="3"/>
        <v>No</v>
      </c>
      <c r="H105" s="35" t="str">
        <f>IFERROR(INDEX('Player Board'!$H$4:$H$163,MATCH(E105,'Player Board'!$B$4:$B$163,0)),"")</f>
        <v/>
      </c>
      <c r="I105" s="34" t="str">
        <f>IF(E105="","",IFERROR(A105-INDEX('Player Board'!$Q$4:$Q$163,MATCH(E105,'Player Board'!$B$4:$B$163,0)),""))</f>
        <v/>
      </c>
      <c r="J105" s="35"/>
      <c r="K105" s="35" t="str">
        <f>IF(OR(D105&lt;&gt;"Noah",E105=""),"",F105&amp;"-"&amp;COUNTIFS($D$4:D105,"Noah",$F$4:F105,F105,$E$4:E105,"&lt;&gt;"))</f>
        <v/>
      </c>
      <c r="L105" s="35"/>
      <c r="M105" s="35"/>
      <c r="N105" s="35"/>
      <c r="O105" s="35"/>
      <c r="P105" s="35"/>
      <c r="Q105" s="35"/>
      <c r="R105" s="94">
        <f>IF(E105="",0,IFERROR(IF(INDEX('Player Board'!$H$4:$H$163,MATCH(E105,'Player Board'!$B$4:$B$163,0))&lt;=20,4.5,IF(INDEX('Player Board'!$H$4:$H$163,MATCH(E105,'Player Board'!$B$4:$B$163,0))&lt;=40,3.5,IF(INDEX('Player Board'!$H$4:$H$163,MATCH(E105,'Player Board'!$B$4:$B$163,0))&lt;=70,2.5,IF(INDEX('Player Board'!$H$4:$H$163,MATCH(E105,'Player Board'!$B$4:$B$163,0))&lt;=110,1.5,1)))),1))</f>
        <v>0</v>
      </c>
      <c r="S105" s="2"/>
      <c r="T105" s="2"/>
      <c r="U105" s="2"/>
      <c r="V105" s="2"/>
      <c r="W105" s="2"/>
      <c r="X105" s="2"/>
      <c r="Y105" s="2"/>
      <c r="Z105" s="2"/>
    </row>
    <row r="106" spans="1:26" ht="11" customHeight="1">
      <c r="A106" s="35">
        <v>103</v>
      </c>
      <c r="B106" s="35">
        <v>13</v>
      </c>
      <c r="C106" s="35">
        <v>7</v>
      </c>
      <c r="D106" s="35"/>
      <c r="E106" s="35"/>
      <c r="F106" s="35" t="str">
        <f>IFERROR(INDEX('Player Board'!$C$4:$C$163,MATCH(E106,'Player Board'!$B$4:$B$163,0)),"")</f>
        <v/>
      </c>
      <c r="G106" s="35" t="str">
        <f t="shared" si="3"/>
        <v>No</v>
      </c>
      <c r="H106" s="35" t="str">
        <f>IFERROR(INDEX('Player Board'!$H$4:$H$163,MATCH(E106,'Player Board'!$B$4:$B$163,0)),"")</f>
        <v/>
      </c>
      <c r="I106" s="34" t="str">
        <f>IF(E106="","",IFERROR(A106-INDEX('Player Board'!$Q$4:$Q$163,MATCH(E106,'Player Board'!$B$4:$B$163,0)),""))</f>
        <v/>
      </c>
      <c r="J106" s="35"/>
      <c r="K106" s="35" t="str">
        <f>IF(OR(D106&lt;&gt;"Noah",E106=""),"",F106&amp;"-"&amp;COUNTIFS($D$4:D106,"Noah",$F$4:F106,F106,$E$4:E106,"&lt;&gt;"))</f>
        <v/>
      </c>
      <c r="L106" s="35"/>
      <c r="M106" s="35"/>
      <c r="N106" s="35"/>
      <c r="O106" s="35"/>
      <c r="P106" s="35"/>
      <c r="Q106" s="35"/>
      <c r="R106" s="94">
        <f>IF(E106="",0,IFERROR(IF(INDEX('Player Board'!$H$4:$H$163,MATCH(E106,'Player Board'!$B$4:$B$163,0))&lt;=20,4.5,IF(INDEX('Player Board'!$H$4:$H$163,MATCH(E106,'Player Board'!$B$4:$B$163,0))&lt;=40,3.5,IF(INDEX('Player Board'!$H$4:$H$163,MATCH(E106,'Player Board'!$B$4:$B$163,0))&lt;=70,2.5,IF(INDEX('Player Board'!$H$4:$H$163,MATCH(E106,'Player Board'!$B$4:$B$163,0))&lt;=110,1.5,1)))),1))</f>
        <v>0</v>
      </c>
      <c r="S106" s="2"/>
      <c r="T106" s="2"/>
      <c r="U106" s="2"/>
      <c r="V106" s="2"/>
      <c r="W106" s="2"/>
      <c r="X106" s="2"/>
      <c r="Y106" s="2"/>
      <c r="Z106" s="2"/>
    </row>
    <row r="107" spans="1:26" ht="11" customHeight="1">
      <c r="A107" s="35">
        <v>104</v>
      </c>
      <c r="B107" s="35">
        <v>13</v>
      </c>
      <c r="C107" s="35">
        <v>8</v>
      </c>
      <c r="D107" s="35"/>
      <c r="E107" s="35"/>
      <c r="F107" s="35" t="str">
        <f>IFERROR(INDEX('Player Board'!$C$4:$C$163,MATCH(E107,'Player Board'!$B$4:$B$163,0)),"")</f>
        <v/>
      </c>
      <c r="G107" s="35" t="str">
        <f t="shared" si="3"/>
        <v>No</v>
      </c>
      <c r="H107" s="35" t="str">
        <f>IFERROR(INDEX('Player Board'!$H$4:$H$163,MATCH(E107,'Player Board'!$B$4:$B$163,0)),"")</f>
        <v/>
      </c>
      <c r="I107" s="34" t="str">
        <f>IF(E107="","",IFERROR(A107-INDEX('Player Board'!$Q$4:$Q$163,MATCH(E107,'Player Board'!$B$4:$B$163,0)),""))</f>
        <v/>
      </c>
      <c r="J107" s="35"/>
      <c r="K107" s="35" t="str">
        <f>IF(OR(D107&lt;&gt;"Noah",E107=""),"",F107&amp;"-"&amp;COUNTIFS($D$4:D107,"Noah",$F$4:F107,F107,$E$4:E107,"&lt;&gt;"))</f>
        <v/>
      </c>
      <c r="L107" s="35"/>
      <c r="M107" s="35"/>
      <c r="N107" s="35"/>
      <c r="O107" s="35"/>
      <c r="P107" s="35"/>
      <c r="Q107" s="35"/>
      <c r="R107" s="94">
        <f>IF(E107="",0,IFERROR(IF(INDEX('Player Board'!$H$4:$H$163,MATCH(E107,'Player Board'!$B$4:$B$163,0))&lt;=20,4.5,IF(INDEX('Player Board'!$H$4:$H$163,MATCH(E107,'Player Board'!$B$4:$B$163,0))&lt;=40,3.5,IF(INDEX('Player Board'!$H$4:$H$163,MATCH(E107,'Player Board'!$B$4:$B$163,0))&lt;=70,2.5,IF(INDEX('Player Board'!$H$4:$H$163,MATCH(E107,'Player Board'!$B$4:$B$163,0))&lt;=110,1.5,1)))),1))</f>
        <v>0</v>
      </c>
      <c r="S107" s="2"/>
      <c r="T107" s="2"/>
      <c r="U107" s="2"/>
      <c r="V107" s="2"/>
      <c r="W107" s="2"/>
      <c r="X107" s="2"/>
      <c r="Y107" s="2"/>
      <c r="Z107" s="2"/>
    </row>
    <row r="108" spans="1:26" ht="11" customHeight="1">
      <c r="A108" s="35">
        <v>105</v>
      </c>
      <c r="B108" s="35">
        <v>14</v>
      </c>
      <c r="C108" s="35">
        <v>1</v>
      </c>
      <c r="D108" s="35"/>
      <c r="E108" s="35"/>
      <c r="F108" s="35" t="str">
        <f>IFERROR(INDEX('Player Board'!$C$4:$C$163,MATCH(E108,'Player Board'!$B$4:$B$163,0)),"")</f>
        <v/>
      </c>
      <c r="G108" s="35" t="str">
        <f t="shared" si="3"/>
        <v>No</v>
      </c>
      <c r="H108" s="35" t="str">
        <f>IFERROR(INDEX('Player Board'!$H$4:$H$163,MATCH(E108,'Player Board'!$B$4:$B$163,0)),"")</f>
        <v/>
      </c>
      <c r="I108" s="34" t="str">
        <f>IF(E108="","",IFERROR(A108-INDEX('Player Board'!$Q$4:$Q$163,MATCH(E108,'Player Board'!$B$4:$B$163,0)),""))</f>
        <v/>
      </c>
      <c r="J108" s="35"/>
      <c r="K108" s="35" t="str">
        <f>IF(OR(D108&lt;&gt;"Noah",E108=""),"",F108&amp;"-"&amp;COUNTIFS($D$4:D108,"Noah",$F$4:F108,F108,$E$4:E108,"&lt;&gt;"))</f>
        <v/>
      </c>
      <c r="L108" s="35"/>
      <c r="M108" s="35"/>
      <c r="N108" s="35"/>
      <c r="O108" s="35"/>
      <c r="P108" s="35"/>
      <c r="Q108" s="35"/>
      <c r="R108" s="94">
        <f>IF(E108="",0,IFERROR(IF(INDEX('Player Board'!$H$4:$H$163,MATCH(E108,'Player Board'!$B$4:$B$163,0))&lt;=20,4.5,IF(INDEX('Player Board'!$H$4:$H$163,MATCH(E108,'Player Board'!$B$4:$B$163,0))&lt;=40,3.5,IF(INDEX('Player Board'!$H$4:$H$163,MATCH(E108,'Player Board'!$B$4:$B$163,0))&lt;=70,2.5,IF(INDEX('Player Board'!$H$4:$H$163,MATCH(E108,'Player Board'!$B$4:$B$163,0))&lt;=110,1.5,1)))),1))</f>
        <v>0</v>
      </c>
      <c r="S108" s="2"/>
      <c r="T108" s="2"/>
      <c r="U108" s="2"/>
      <c r="V108" s="2"/>
      <c r="W108" s="2"/>
      <c r="X108" s="2"/>
      <c r="Y108" s="2"/>
      <c r="Z108" s="2"/>
    </row>
    <row r="109" spans="1:26" ht="11" customHeight="1">
      <c r="A109" s="35">
        <v>106</v>
      </c>
      <c r="B109" s="35">
        <v>14</v>
      </c>
      <c r="C109" s="35">
        <v>2</v>
      </c>
      <c r="D109" s="35"/>
      <c r="E109" s="35"/>
      <c r="F109" s="35" t="str">
        <f>IFERROR(INDEX('Player Board'!$C$4:$C$163,MATCH(E109,'Player Board'!$B$4:$B$163,0)),"")</f>
        <v/>
      </c>
      <c r="G109" s="35" t="str">
        <f t="shared" si="3"/>
        <v>No</v>
      </c>
      <c r="H109" s="35" t="str">
        <f>IFERROR(INDEX('Player Board'!$H$4:$H$163,MATCH(E109,'Player Board'!$B$4:$B$163,0)),"")</f>
        <v/>
      </c>
      <c r="I109" s="34" t="str">
        <f>IF(E109="","",IFERROR(A109-INDEX('Player Board'!$Q$4:$Q$163,MATCH(E109,'Player Board'!$B$4:$B$163,0)),""))</f>
        <v/>
      </c>
      <c r="J109" s="35"/>
      <c r="K109" s="35" t="str">
        <f>IF(OR(D109&lt;&gt;"Noah",E109=""),"",F109&amp;"-"&amp;COUNTIFS($D$4:D109,"Noah",$F$4:F109,F109,$E$4:E109,"&lt;&gt;"))</f>
        <v/>
      </c>
      <c r="L109" s="35"/>
      <c r="M109" s="35"/>
      <c r="N109" s="35"/>
      <c r="O109" s="35"/>
      <c r="P109" s="35"/>
      <c r="Q109" s="35"/>
      <c r="R109" s="94">
        <f>IF(E109="",0,IFERROR(IF(INDEX('Player Board'!$H$4:$H$163,MATCH(E109,'Player Board'!$B$4:$B$163,0))&lt;=20,4.5,IF(INDEX('Player Board'!$H$4:$H$163,MATCH(E109,'Player Board'!$B$4:$B$163,0))&lt;=40,3.5,IF(INDEX('Player Board'!$H$4:$H$163,MATCH(E109,'Player Board'!$B$4:$B$163,0))&lt;=70,2.5,IF(INDEX('Player Board'!$H$4:$H$163,MATCH(E109,'Player Board'!$B$4:$B$163,0))&lt;=110,1.5,1)))),1))</f>
        <v>0</v>
      </c>
      <c r="S109" s="2"/>
      <c r="T109" s="2"/>
      <c r="U109" s="2"/>
      <c r="V109" s="2"/>
      <c r="W109" s="2"/>
      <c r="X109" s="2"/>
      <c r="Y109" s="2"/>
      <c r="Z109" s="2"/>
    </row>
    <row r="110" spans="1:26" ht="11" customHeight="1">
      <c r="A110" s="35">
        <v>107</v>
      </c>
      <c r="B110" s="35">
        <v>14</v>
      </c>
      <c r="C110" s="35">
        <v>3</v>
      </c>
      <c r="D110" s="35"/>
      <c r="E110" s="35"/>
      <c r="F110" s="35" t="str">
        <f>IFERROR(INDEX('Player Board'!$C$4:$C$163,MATCH(E110,'Player Board'!$B$4:$B$163,0)),"")</f>
        <v/>
      </c>
      <c r="G110" s="35" t="str">
        <f t="shared" si="3"/>
        <v>No</v>
      </c>
      <c r="H110" s="35" t="str">
        <f>IFERROR(INDEX('Player Board'!$H$4:$H$163,MATCH(E110,'Player Board'!$B$4:$B$163,0)),"")</f>
        <v/>
      </c>
      <c r="I110" s="34" t="str">
        <f>IF(E110="","",IFERROR(A110-INDEX('Player Board'!$Q$4:$Q$163,MATCH(E110,'Player Board'!$B$4:$B$163,0)),""))</f>
        <v/>
      </c>
      <c r="J110" s="35"/>
      <c r="K110" s="35" t="str">
        <f>IF(OR(D110&lt;&gt;"Noah",E110=""),"",F110&amp;"-"&amp;COUNTIFS($D$4:D110,"Noah",$F$4:F110,F110,$E$4:E110,"&lt;&gt;"))</f>
        <v/>
      </c>
      <c r="L110" s="35"/>
      <c r="M110" s="35"/>
      <c r="N110" s="35"/>
      <c r="O110" s="35"/>
      <c r="P110" s="35"/>
      <c r="Q110" s="35"/>
      <c r="R110" s="94">
        <f>IF(E110="",0,IFERROR(IF(INDEX('Player Board'!$H$4:$H$163,MATCH(E110,'Player Board'!$B$4:$B$163,0))&lt;=20,4.5,IF(INDEX('Player Board'!$H$4:$H$163,MATCH(E110,'Player Board'!$B$4:$B$163,0))&lt;=40,3.5,IF(INDEX('Player Board'!$H$4:$H$163,MATCH(E110,'Player Board'!$B$4:$B$163,0))&lt;=70,2.5,IF(INDEX('Player Board'!$H$4:$H$163,MATCH(E110,'Player Board'!$B$4:$B$163,0))&lt;=110,1.5,1)))),1))</f>
        <v>0</v>
      </c>
      <c r="S110" s="2"/>
      <c r="T110" s="2"/>
      <c r="U110" s="2"/>
      <c r="V110" s="2"/>
      <c r="W110" s="2"/>
      <c r="X110" s="2"/>
      <c r="Y110" s="2"/>
      <c r="Z110" s="2"/>
    </row>
    <row r="111" spans="1:26" ht="11" customHeight="1">
      <c r="A111" s="35">
        <v>108</v>
      </c>
      <c r="B111" s="35">
        <v>14</v>
      </c>
      <c r="C111" s="35">
        <v>4</v>
      </c>
      <c r="D111" s="35"/>
      <c r="E111" s="35"/>
      <c r="F111" s="35" t="str">
        <f>IFERROR(INDEX('Player Board'!$C$4:$C$163,MATCH(E111,'Player Board'!$B$4:$B$163,0)),"")</f>
        <v/>
      </c>
      <c r="G111" s="35" t="str">
        <f t="shared" si="3"/>
        <v>No</v>
      </c>
      <c r="H111" s="35" t="str">
        <f>IFERROR(INDEX('Player Board'!$H$4:$H$163,MATCH(E111,'Player Board'!$B$4:$B$163,0)),"")</f>
        <v/>
      </c>
      <c r="I111" s="34" t="str">
        <f>IF(E111="","",IFERROR(A111-INDEX('Player Board'!$Q$4:$Q$163,MATCH(E111,'Player Board'!$B$4:$B$163,0)),""))</f>
        <v/>
      </c>
      <c r="J111" s="35"/>
      <c r="K111" s="35" t="str">
        <f>IF(OR(D111&lt;&gt;"Noah",E111=""),"",F111&amp;"-"&amp;COUNTIFS($D$4:D111,"Noah",$F$4:F111,F111,$E$4:E111,"&lt;&gt;"))</f>
        <v/>
      </c>
      <c r="L111" s="35"/>
      <c r="M111" s="35"/>
      <c r="N111" s="35"/>
      <c r="O111" s="35"/>
      <c r="P111" s="35"/>
      <c r="Q111" s="35"/>
      <c r="R111" s="94">
        <f>IF(E111="",0,IFERROR(IF(INDEX('Player Board'!$H$4:$H$163,MATCH(E111,'Player Board'!$B$4:$B$163,0))&lt;=20,4.5,IF(INDEX('Player Board'!$H$4:$H$163,MATCH(E111,'Player Board'!$B$4:$B$163,0))&lt;=40,3.5,IF(INDEX('Player Board'!$H$4:$H$163,MATCH(E111,'Player Board'!$B$4:$B$163,0))&lt;=70,2.5,IF(INDEX('Player Board'!$H$4:$H$163,MATCH(E111,'Player Board'!$B$4:$B$163,0))&lt;=110,1.5,1)))),1))</f>
        <v>0</v>
      </c>
      <c r="S111" s="2"/>
      <c r="T111" s="2"/>
      <c r="U111" s="2"/>
      <c r="V111" s="2"/>
      <c r="W111" s="2"/>
      <c r="X111" s="2"/>
      <c r="Y111" s="2"/>
      <c r="Z111" s="2"/>
    </row>
    <row r="112" spans="1:26" ht="11" customHeight="1">
      <c r="A112" s="35">
        <v>109</v>
      </c>
      <c r="B112" s="35">
        <v>14</v>
      </c>
      <c r="C112" s="35">
        <v>5</v>
      </c>
      <c r="D112" s="35"/>
      <c r="E112" s="35"/>
      <c r="F112" s="35" t="str">
        <f>IFERROR(INDEX('Player Board'!$C$4:$C$163,MATCH(E112,'Player Board'!$B$4:$B$163,0)),"")</f>
        <v/>
      </c>
      <c r="G112" s="35" t="str">
        <f t="shared" si="3"/>
        <v>No</v>
      </c>
      <c r="H112" s="35" t="str">
        <f>IFERROR(INDEX('Player Board'!$H$4:$H$163,MATCH(E112,'Player Board'!$B$4:$B$163,0)),"")</f>
        <v/>
      </c>
      <c r="I112" s="34" t="str">
        <f>IF(E112="","",IFERROR(A112-INDEX('Player Board'!$Q$4:$Q$163,MATCH(E112,'Player Board'!$B$4:$B$163,0)),""))</f>
        <v/>
      </c>
      <c r="J112" s="35"/>
      <c r="K112" s="35" t="str">
        <f>IF(OR(D112&lt;&gt;"Noah",E112=""),"",F112&amp;"-"&amp;COUNTIFS($D$4:D112,"Noah",$F$4:F112,F112,$E$4:E112,"&lt;&gt;"))</f>
        <v/>
      </c>
      <c r="L112" s="35"/>
      <c r="M112" s="35"/>
      <c r="N112" s="35"/>
      <c r="O112" s="35"/>
      <c r="P112" s="35"/>
      <c r="Q112" s="35"/>
      <c r="R112" s="94">
        <f>IF(E112="",0,IFERROR(IF(INDEX('Player Board'!$H$4:$H$163,MATCH(E112,'Player Board'!$B$4:$B$163,0))&lt;=20,4.5,IF(INDEX('Player Board'!$H$4:$H$163,MATCH(E112,'Player Board'!$B$4:$B$163,0))&lt;=40,3.5,IF(INDEX('Player Board'!$H$4:$H$163,MATCH(E112,'Player Board'!$B$4:$B$163,0))&lt;=70,2.5,IF(INDEX('Player Board'!$H$4:$H$163,MATCH(E112,'Player Board'!$B$4:$B$163,0))&lt;=110,1.5,1)))),1))</f>
        <v>0</v>
      </c>
      <c r="S112" s="2"/>
      <c r="T112" s="2"/>
      <c r="U112" s="2"/>
      <c r="V112" s="2"/>
      <c r="W112" s="2"/>
      <c r="X112" s="2"/>
      <c r="Y112" s="2"/>
      <c r="Z112" s="2"/>
    </row>
    <row r="113" spans="1:26" ht="11" customHeight="1">
      <c r="A113" s="35">
        <v>110</v>
      </c>
      <c r="B113" s="35">
        <v>14</v>
      </c>
      <c r="C113" s="35">
        <v>6</v>
      </c>
      <c r="D113" s="35"/>
      <c r="E113" s="35"/>
      <c r="F113" s="35" t="str">
        <f>IFERROR(INDEX('Player Board'!$C$4:$C$163,MATCH(E113,'Player Board'!$B$4:$B$163,0)),"")</f>
        <v/>
      </c>
      <c r="G113" s="35" t="str">
        <f t="shared" si="3"/>
        <v>No</v>
      </c>
      <c r="H113" s="35" t="str">
        <f>IFERROR(INDEX('Player Board'!$H$4:$H$163,MATCH(E113,'Player Board'!$B$4:$B$163,0)),"")</f>
        <v/>
      </c>
      <c r="I113" s="34" t="str">
        <f>IF(E113="","",IFERROR(A113-INDEX('Player Board'!$Q$4:$Q$163,MATCH(E113,'Player Board'!$B$4:$B$163,0)),""))</f>
        <v/>
      </c>
      <c r="J113" s="35"/>
      <c r="K113" s="35" t="str">
        <f>IF(OR(D113&lt;&gt;"Noah",E113=""),"",F113&amp;"-"&amp;COUNTIFS($D$4:D113,"Noah",$F$4:F113,F113,$E$4:E113,"&lt;&gt;"))</f>
        <v/>
      </c>
      <c r="L113" s="35"/>
      <c r="M113" s="35"/>
      <c r="N113" s="35"/>
      <c r="O113" s="35"/>
      <c r="P113" s="35"/>
      <c r="Q113" s="35"/>
      <c r="R113" s="94">
        <f>IF(E113="",0,IFERROR(IF(INDEX('Player Board'!$H$4:$H$163,MATCH(E113,'Player Board'!$B$4:$B$163,0))&lt;=20,4.5,IF(INDEX('Player Board'!$H$4:$H$163,MATCH(E113,'Player Board'!$B$4:$B$163,0))&lt;=40,3.5,IF(INDEX('Player Board'!$H$4:$H$163,MATCH(E113,'Player Board'!$B$4:$B$163,0))&lt;=70,2.5,IF(INDEX('Player Board'!$H$4:$H$163,MATCH(E113,'Player Board'!$B$4:$B$163,0))&lt;=110,1.5,1)))),1))</f>
        <v>0</v>
      </c>
      <c r="S113" s="2"/>
      <c r="T113" s="2"/>
      <c r="U113" s="2"/>
      <c r="V113" s="2"/>
      <c r="W113" s="2"/>
      <c r="X113" s="2"/>
      <c r="Y113" s="2"/>
      <c r="Z113" s="2"/>
    </row>
    <row r="114" spans="1:26" ht="11" customHeight="1">
      <c r="A114" s="35">
        <v>111</v>
      </c>
      <c r="B114" s="35">
        <v>14</v>
      </c>
      <c r="C114" s="35">
        <v>7</v>
      </c>
      <c r="D114" s="35"/>
      <c r="E114" s="35"/>
      <c r="F114" s="35" t="str">
        <f>IFERROR(INDEX('Player Board'!$C$4:$C$163,MATCH(E114,'Player Board'!$B$4:$B$163,0)),"")</f>
        <v/>
      </c>
      <c r="G114" s="35" t="str">
        <f t="shared" si="3"/>
        <v>No</v>
      </c>
      <c r="H114" s="35" t="str">
        <f>IFERROR(INDEX('Player Board'!$H$4:$H$163,MATCH(E114,'Player Board'!$B$4:$B$163,0)),"")</f>
        <v/>
      </c>
      <c r="I114" s="34" t="str">
        <f>IF(E114="","",IFERROR(A114-INDEX('Player Board'!$Q$4:$Q$163,MATCH(E114,'Player Board'!$B$4:$B$163,0)),""))</f>
        <v/>
      </c>
      <c r="J114" s="35"/>
      <c r="K114" s="35" t="str">
        <f>IF(OR(D114&lt;&gt;"Noah",E114=""),"",F114&amp;"-"&amp;COUNTIFS($D$4:D114,"Noah",$F$4:F114,F114,$E$4:E114,"&lt;&gt;"))</f>
        <v/>
      </c>
      <c r="L114" s="35"/>
      <c r="M114" s="35"/>
      <c r="N114" s="35"/>
      <c r="O114" s="35"/>
      <c r="P114" s="35"/>
      <c r="Q114" s="35"/>
      <c r="R114" s="94">
        <f>IF(E114="",0,IFERROR(IF(INDEX('Player Board'!$H$4:$H$163,MATCH(E114,'Player Board'!$B$4:$B$163,0))&lt;=20,4.5,IF(INDEX('Player Board'!$H$4:$H$163,MATCH(E114,'Player Board'!$B$4:$B$163,0))&lt;=40,3.5,IF(INDEX('Player Board'!$H$4:$H$163,MATCH(E114,'Player Board'!$B$4:$B$163,0))&lt;=70,2.5,IF(INDEX('Player Board'!$H$4:$H$163,MATCH(E114,'Player Board'!$B$4:$B$163,0))&lt;=110,1.5,1)))),1))</f>
        <v>0</v>
      </c>
      <c r="S114" s="2"/>
      <c r="T114" s="2"/>
      <c r="U114" s="2"/>
      <c r="V114" s="2"/>
      <c r="W114" s="2"/>
      <c r="X114" s="2"/>
      <c r="Y114" s="2"/>
      <c r="Z114" s="2"/>
    </row>
    <row r="115" spans="1:26" ht="11" customHeight="1">
      <c r="A115" s="35">
        <v>112</v>
      </c>
      <c r="B115" s="35">
        <v>14</v>
      </c>
      <c r="C115" s="35">
        <v>8</v>
      </c>
      <c r="D115" s="35"/>
      <c r="E115" s="35"/>
      <c r="F115" s="35" t="str">
        <f>IFERROR(INDEX('Player Board'!$C$4:$C$163,MATCH(E115,'Player Board'!$B$4:$B$163,0)),"")</f>
        <v/>
      </c>
      <c r="G115" s="35" t="str">
        <f t="shared" si="3"/>
        <v>No</v>
      </c>
      <c r="H115" s="35" t="str">
        <f>IFERROR(INDEX('Player Board'!$H$4:$H$163,MATCH(E115,'Player Board'!$B$4:$B$163,0)),"")</f>
        <v/>
      </c>
      <c r="I115" s="34" t="str">
        <f>IF(E115="","",IFERROR(A115-INDEX('Player Board'!$Q$4:$Q$163,MATCH(E115,'Player Board'!$B$4:$B$163,0)),""))</f>
        <v/>
      </c>
      <c r="J115" s="35"/>
      <c r="K115" s="35" t="str">
        <f>IF(OR(D115&lt;&gt;"Noah",E115=""),"",F115&amp;"-"&amp;COUNTIFS($D$4:D115,"Noah",$F$4:F115,F115,$E$4:E115,"&lt;&gt;"))</f>
        <v/>
      </c>
      <c r="L115" s="35"/>
      <c r="M115" s="35"/>
      <c r="N115" s="35"/>
      <c r="O115" s="35"/>
      <c r="P115" s="35"/>
      <c r="Q115" s="35"/>
      <c r="R115" s="94">
        <f>IF(E115="",0,IFERROR(IF(INDEX('Player Board'!$H$4:$H$163,MATCH(E115,'Player Board'!$B$4:$B$163,0))&lt;=20,4.5,IF(INDEX('Player Board'!$H$4:$H$163,MATCH(E115,'Player Board'!$B$4:$B$163,0))&lt;=40,3.5,IF(INDEX('Player Board'!$H$4:$H$163,MATCH(E115,'Player Board'!$B$4:$B$163,0))&lt;=70,2.5,IF(INDEX('Player Board'!$H$4:$H$163,MATCH(E115,'Player Board'!$B$4:$B$163,0))&lt;=110,1.5,1)))),1))</f>
        <v>0</v>
      </c>
      <c r="S115" s="2"/>
      <c r="T115" s="2"/>
      <c r="U115" s="2"/>
      <c r="V115" s="2"/>
      <c r="W115" s="2"/>
      <c r="X115" s="2"/>
      <c r="Y115" s="2"/>
      <c r="Z115" s="2"/>
    </row>
    <row r="116" spans="1:26" ht="11" customHeight="1">
      <c r="A116" s="35">
        <v>113</v>
      </c>
      <c r="B116" s="35">
        <v>15</v>
      </c>
      <c r="C116" s="35">
        <v>1</v>
      </c>
      <c r="D116" s="35"/>
      <c r="E116" s="35"/>
      <c r="F116" s="35" t="str">
        <f>IFERROR(INDEX('Player Board'!$C$4:$C$163,MATCH(E116,'Player Board'!$B$4:$B$163,0)),"")</f>
        <v/>
      </c>
      <c r="G116" s="35" t="str">
        <f t="shared" si="3"/>
        <v>No</v>
      </c>
      <c r="H116" s="35" t="str">
        <f>IFERROR(INDEX('Player Board'!$H$4:$H$163,MATCH(E116,'Player Board'!$B$4:$B$163,0)),"")</f>
        <v/>
      </c>
      <c r="I116" s="34" t="str">
        <f>IF(E116="","",IFERROR(A116-INDEX('Player Board'!$Q$4:$Q$163,MATCH(E116,'Player Board'!$B$4:$B$163,0)),""))</f>
        <v/>
      </c>
      <c r="J116" s="35"/>
      <c r="K116" s="35" t="str">
        <f>IF(OR(D116&lt;&gt;"Noah",E116=""),"",F116&amp;"-"&amp;COUNTIFS($D$4:D116,"Noah",$F$4:F116,F116,$E$4:E116,"&lt;&gt;"))</f>
        <v/>
      </c>
      <c r="L116" s="35"/>
      <c r="M116" s="35"/>
      <c r="N116" s="35"/>
      <c r="O116" s="35"/>
      <c r="P116" s="35"/>
      <c r="Q116" s="35"/>
      <c r="R116" s="94">
        <f>IF(E116="",0,IFERROR(IF(INDEX('Player Board'!$H$4:$H$163,MATCH(E116,'Player Board'!$B$4:$B$163,0))&lt;=20,4.5,IF(INDEX('Player Board'!$H$4:$H$163,MATCH(E116,'Player Board'!$B$4:$B$163,0))&lt;=40,3.5,IF(INDEX('Player Board'!$H$4:$H$163,MATCH(E116,'Player Board'!$B$4:$B$163,0))&lt;=70,2.5,IF(INDEX('Player Board'!$H$4:$H$163,MATCH(E116,'Player Board'!$B$4:$B$163,0))&lt;=110,1.5,1)))),1))</f>
        <v>0</v>
      </c>
      <c r="S116" s="2"/>
      <c r="T116" s="2"/>
      <c r="U116" s="2"/>
      <c r="V116" s="2"/>
      <c r="W116" s="2"/>
      <c r="X116" s="2"/>
      <c r="Y116" s="2"/>
      <c r="Z116" s="2"/>
    </row>
    <row r="117" spans="1:26" ht="11" customHeight="1">
      <c r="A117" s="35">
        <v>114</v>
      </c>
      <c r="B117" s="35">
        <v>15</v>
      </c>
      <c r="C117" s="35">
        <v>2</v>
      </c>
      <c r="D117" s="35"/>
      <c r="E117" s="35"/>
      <c r="F117" s="35" t="str">
        <f>IFERROR(INDEX('Player Board'!$C$4:$C$163,MATCH(E117,'Player Board'!$B$4:$B$163,0)),"")</f>
        <v/>
      </c>
      <c r="G117" s="35" t="str">
        <f t="shared" si="3"/>
        <v>No</v>
      </c>
      <c r="H117" s="35" t="str">
        <f>IFERROR(INDEX('Player Board'!$H$4:$H$163,MATCH(E117,'Player Board'!$B$4:$B$163,0)),"")</f>
        <v/>
      </c>
      <c r="I117" s="34" t="str">
        <f>IF(E117="","",IFERROR(A117-INDEX('Player Board'!$Q$4:$Q$163,MATCH(E117,'Player Board'!$B$4:$B$163,0)),""))</f>
        <v/>
      </c>
      <c r="J117" s="35"/>
      <c r="K117" s="35" t="str">
        <f>IF(OR(D117&lt;&gt;"Noah",E117=""),"",F117&amp;"-"&amp;COUNTIFS($D$4:D117,"Noah",$F$4:F117,F117,$E$4:E117,"&lt;&gt;"))</f>
        <v/>
      </c>
      <c r="L117" s="35"/>
      <c r="M117" s="35"/>
      <c r="N117" s="35"/>
      <c r="O117" s="35"/>
      <c r="P117" s="35"/>
      <c r="Q117" s="35"/>
      <c r="R117" s="94">
        <f>IF(E117="",0,IFERROR(IF(INDEX('Player Board'!$H$4:$H$163,MATCH(E117,'Player Board'!$B$4:$B$163,0))&lt;=20,4.5,IF(INDEX('Player Board'!$H$4:$H$163,MATCH(E117,'Player Board'!$B$4:$B$163,0))&lt;=40,3.5,IF(INDEX('Player Board'!$H$4:$H$163,MATCH(E117,'Player Board'!$B$4:$B$163,0))&lt;=70,2.5,IF(INDEX('Player Board'!$H$4:$H$163,MATCH(E117,'Player Board'!$B$4:$B$163,0))&lt;=110,1.5,1)))),1))</f>
        <v>0</v>
      </c>
      <c r="S117" s="2"/>
      <c r="T117" s="2"/>
      <c r="U117" s="2"/>
      <c r="V117" s="2"/>
      <c r="W117" s="2"/>
      <c r="X117" s="2"/>
      <c r="Y117" s="2"/>
      <c r="Z117" s="2"/>
    </row>
    <row r="118" spans="1:26" ht="11" customHeight="1">
      <c r="A118" s="35">
        <v>115</v>
      </c>
      <c r="B118" s="35">
        <v>15</v>
      </c>
      <c r="C118" s="35">
        <v>3</v>
      </c>
      <c r="D118" s="35"/>
      <c r="E118" s="35"/>
      <c r="F118" s="35" t="str">
        <f>IFERROR(INDEX('Player Board'!$C$4:$C$163,MATCH(E118,'Player Board'!$B$4:$B$163,0)),"")</f>
        <v/>
      </c>
      <c r="G118" s="35" t="str">
        <f t="shared" si="3"/>
        <v>No</v>
      </c>
      <c r="H118" s="35" t="str">
        <f>IFERROR(INDEX('Player Board'!$H$4:$H$163,MATCH(E118,'Player Board'!$B$4:$B$163,0)),"")</f>
        <v/>
      </c>
      <c r="I118" s="34" t="str">
        <f>IF(E118="","",IFERROR(A118-INDEX('Player Board'!$Q$4:$Q$163,MATCH(E118,'Player Board'!$B$4:$B$163,0)),""))</f>
        <v/>
      </c>
      <c r="J118" s="35"/>
      <c r="K118" s="35" t="str">
        <f>IF(OR(D118&lt;&gt;"Noah",E118=""),"",F118&amp;"-"&amp;COUNTIFS($D$4:D118,"Noah",$F$4:F118,F118,$E$4:E118,"&lt;&gt;"))</f>
        <v/>
      </c>
      <c r="L118" s="35"/>
      <c r="M118" s="35"/>
      <c r="N118" s="35"/>
      <c r="O118" s="35"/>
      <c r="P118" s="35"/>
      <c r="Q118" s="35"/>
      <c r="R118" s="94">
        <f>IF(E118="",0,IFERROR(IF(INDEX('Player Board'!$H$4:$H$163,MATCH(E118,'Player Board'!$B$4:$B$163,0))&lt;=20,4.5,IF(INDEX('Player Board'!$H$4:$H$163,MATCH(E118,'Player Board'!$B$4:$B$163,0))&lt;=40,3.5,IF(INDEX('Player Board'!$H$4:$H$163,MATCH(E118,'Player Board'!$B$4:$B$163,0))&lt;=70,2.5,IF(INDEX('Player Board'!$H$4:$H$163,MATCH(E118,'Player Board'!$B$4:$B$163,0))&lt;=110,1.5,1)))),1))</f>
        <v>0</v>
      </c>
      <c r="S118" s="2"/>
      <c r="T118" s="2"/>
      <c r="U118" s="2"/>
      <c r="V118" s="2"/>
      <c r="W118" s="2"/>
      <c r="X118" s="2"/>
      <c r="Y118" s="2"/>
      <c r="Z118" s="2"/>
    </row>
    <row r="119" spans="1:26" ht="11" customHeight="1">
      <c r="A119" s="35">
        <v>116</v>
      </c>
      <c r="B119" s="35">
        <v>15</v>
      </c>
      <c r="C119" s="35">
        <v>4</v>
      </c>
      <c r="D119" s="35"/>
      <c r="E119" s="35"/>
      <c r="F119" s="35" t="str">
        <f>IFERROR(INDEX('Player Board'!$C$4:$C$163,MATCH(E119,'Player Board'!$B$4:$B$163,0)),"")</f>
        <v/>
      </c>
      <c r="G119" s="35" t="str">
        <f t="shared" si="3"/>
        <v>No</v>
      </c>
      <c r="H119" s="35" t="str">
        <f>IFERROR(INDEX('Player Board'!$H$4:$H$163,MATCH(E119,'Player Board'!$B$4:$B$163,0)),"")</f>
        <v/>
      </c>
      <c r="I119" s="34" t="str">
        <f>IF(E119="","",IFERROR(A119-INDEX('Player Board'!$Q$4:$Q$163,MATCH(E119,'Player Board'!$B$4:$B$163,0)),""))</f>
        <v/>
      </c>
      <c r="J119" s="35"/>
      <c r="K119" s="35" t="str">
        <f>IF(OR(D119&lt;&gt;"Noah",E119=""),"",F119&amp;"-"&amp;COUNTIFS($D$4:D119,"Noah",$F$4:F119,F119,$E$4:E119,"&lt;&gt;"))</f>
        <v/>
      </c>
      <c r="L119" s="35"/>
      <c r="M119" s="35"/>
      <c r="N119" s="35"/>
      <c r="O119" s="35"/>
      <c r="P119" s="35"/>
      <c r="Q119" s="35"/>
      <c r="R119" s="94">
        <f>IF(E119="",0,IFERROR(IF(INDEX('Player Board'!$H$4:$H$163,MATCH(E119,'Player Board'!$B$4:$B$163,0))&lt;=20,4.5,IF(INDEX('Player Board'!$H$4:$H$163,MATCH(E119,'Player Board'!$B$4:$B$163,0))&lt;=40,3.5,IF(INDEX('Player Board'!$H$4:$H$163,MATCH(E119,'Player Board'!$B$4:$B$163,0))&lt;=70,2.5,IF(INDEX('Player Board'!$H$4:$H$163,MATCH(E119,'Player Board'!$B$4:$B$163,0))&lt;=110,1.5,1)))),1))</f>
        <v>0</v>
      </c>
      <c r="S119" s="2"/>
      <c r="T119" s="2"/>
      <c r="U119" s="2"/>
      <c r="V119" s="2"/>
      <c r="W119" s="2"/>
      <c r="X119" s="2"/>
      <c r="Y119" s="2"/>
      <c r="Z119" s="2"/>
    </row>
    <row r="120" spans="1:26" ht="11" customHeight="1">
      <c r="A120" s="35">
        <v>117</v>
      </c>
      <c r="B120" s="35">
        <v>15</v>
      </c>
      <c r="C120" s="35">
        <v>5</v>
      </c>
      <c r="D120" s="35"/>
      <c r="E120" s="35"/>
      <c r="F120" s="35" t="str">
        <f>IFERROR(INDEX('Player Board'!$C$4:$C$163,MATCH(E120,'Player Board'!$B$4:$B$163,0)),"")</f>
        <v/>
      </c>
      <c r="G120" s="35" t="str">
        <f t="shared" si="3"/>
        <v>No</v>
      </c>
      <c r="H120" s="35" t="str">
        <f>IFERROR(INDEX('Player Board'!$H$4:$H$163,MATCH(E120,'Player Board'!$B$4:$B$163,0)),"")</f>
        <v/>
      </c>
      <c r="I120" s="34" t="str">
        <f>IF(E120="","",IFERROR(A120-INDEX('Player Board'!$Q$4:$Q$163,MATCH(E120,'Player Board'!$B$4:$B$163,0)),""))</f>
        <v/>
      </c>
      <c r="J120" s="35"/>
      <c r="K120" s="35" t="str">
        <f>IF(OR(D120&lt;&gt;"Noah",E120=""),"",F120&amp;"-"&amp;COUNTIFS($D$4:D120,"Noah",$F$4:F120,F120,$E$4:E120,"&lt;&gt;"))</f>
        <v/>
      </c>
      <c r="L120" s="35"/>
      <c r="M120" s="35"/>
      <c r="N120" s="35"/>
      <c r="O120" s="35"/>
      <c r="P120" s="35"/>
      <c r="Q120" s="35"/>
      <c r="R120" s="94">
        <f>IF(E120="",0,IFERROR(IF(INDEX('Player Board'!$H$4:$H$163,MATCH(E120,'Player Board'!$B$4:$B$163,0))&lt;=20,4.5,IF(INDEX('Player Board'!$H$4:$H$163,MATCH(E120,'Player Board'!$B$4:$B$163,0))&lt;=40,3.5,IF(INDEX('Player Board'!$H$4:$H$163,MATCH(E120,'Player Board'!$B$4:$B$163,0))&lt;=70,2.5,IF(INDEX('Player Board'!$H$4:$H$163,MATCH(E120,'Player Board'!$B$4:$B$163,0))&lt;=110,1.5,1)))),1))</f>
        <v>0</v>
      </c>
      <c r="S120" s="2"/>
      <c r="T120" s="2"/>
      <c r="U120" s="2"/>
      <c r="V120" s="2"/>
      <c r="W120" s="2"/>
      <c r="X120" s="2"/>
      <c r="Y120" s="2"/>
      <c r="Z120" s="2"/>
    </row>
    <row r="121" spans="1:26" ht="11" customHeight="1">
      <c r="A121" s="35">
        <v>118</v>
      </c>
      <c r="B121" s="35">
        <v>15</v>
      </c>
      <c r="C121" s="35">
        <v>6</v>
      </c>
      <c r="D121" s="35"/>
      <c r="E121" s="35"/>
      <c r="F121" s="35" t="str">
        <f>IFERROR(INDEX('Player Board'!$C$4:$C$163,MATCH(E121,'Player Board'!$B$4:$B$163,0)),"")</f>
        <v/>
      </c>
      <c r="G121" s="35" t="str">
        <f t="shared" si="3"/>
        <v>No</v>
      </c>
      <c r="H121" s="35" t="str">
        <f>IFERROR(INDEX('Player Board'!$H$4:$H$163,MATCH(E121,'Player Board'!$B$4:$B$163,0)),"")</f>
        <v/>
      </c>
      <c r="I121" s="34" t="str">
        <f>IF(E121="","",IFERROR(A121-INDEX('Player Board'!$Q$4:$Q$163,MATCH(E121,'Player Board'!$B$4:$B$163,0)),""))</f>
        <v/>
      </c>
      <c r="J121" s="35"/>
      <c r="K121" s="35" t="str">
        <f>IF(OR(D121&lt;&gt;"Noah",E121=""),"",F121&amp;"-"&amp;COUNTIFS($D$4:D121,"Noah",$F$4:F121,F121,$E$4:E121,"&lt;&gt;"))</f>
        <v/>
      </c>
      <c r="L121" s="35"/>
      <c r="M121" s="35"/>
      <c r="N121" s="35"/>
      <c r="O121" s="35"/>
      <c r="P121" s="35"/>
      <c r="Q121" s="35"/>
      <c r="R121" s="94">
        <f>IF(E121="",0,IFERROR(IF(INDEX('Player Board'!$H$4:$H$163,MATCH(E121,'Player Board'!$B$4:$B$163,0))&lt;=20,4.5,IF(INDEX('Player Board'!$H$4:$H$163,MATCH(E121,'Player Board'!$B$4:$B$163,0))&lt;=40,3.5,IF(INDEX('Player Board'!$H$4:$H$163,MATCH(E121,'Player Board'!$B$4:$B$163,0))&lt;=70,2.5,IF(INDEX('Player Board'!$H$4:$H$163,MATCH(E121,'Player Board'!$B$4:$B$163,0))&lt;=110,1.5,1)))),1))</f>
        <v>0</v>
      </c>
      <c r="S121" s="2"/>
      <c r="T121" s="2"/>
      <c r="U121" s="2"/>
      <c r="V121" s="2"/>
      <c r="W121" s="2"/>
      <c r="X121" s="2"/>
      <c r="Y121" s="2"/>
      <c r="Z121" s="2"/>
    </row>
    <row r="122" spans="1:26" ht="11" customHeight="1">
      <c r="A122" s="35">
        <v>119</v>
      </c>
      <c r="B122" s="35">
        <v>15</v>
      </c>
      <c r="C122" s="35">
        <v>7</v>
      </c>
      <c r="D122" s="35"/>
      <c r="E122" s="35"/>
      <c r="F122" s="35" t="str">
        <f>IFERROR(INDEX('Player Board'!$C$4:$C$163,MATCH(E122,'Player Board'!$B$4:$B$163,0)),"")</f>
        <v/>
      </c>
      <c r="G122" s="35" t="str">
        <f t="shared" si="3"/>
        <v>No</v>
      </c>
      <c r="H122" s="35" t="str">
        <f>IFERROR(INDEX('Player Board'!$H$4:$H$163,MATCH(E122,'Player Board'!$B$4:$B$163,0)),"")</f>
        <v/>
      </c>
      <c r="I122" s="34" t="str">
        <f>IF(E122="","",IFERROR(A122-INDEX('Player Board'!$Q$4:$Q$163,MATCH(E122,'Player Board'!$B$4:$B$163,0)),""))</f>
        <v/>
      </c>
      <c r="J122" s="35"/>
      <c r="K122" s="35" t="str">
        <f>IF(OR(D122&lt;&gt;"Noah",E122=""),"",F122&amp;"-"&amp;COUNTIFS($D$4:D122,"Noah",$F$4:F122,F122,$E$4:E122,"&lt;&gt;"))</f>
        <v/>
      </c>
      <c r="L122" s="35"/>
      <c r="M122" s="35"/>
      <c r="N122" s="35"/>
      <c r="O122" s="35"/>
      <c r="P122" s="35"/>
      <c r="Q122" s="35"/>
      <c r="R122" s="94">
        <f>IF(E122="",0,IFERROR(IF(INDEX('Player Board'!$H$4:$H$163,MATCH(E122,'Player Board'!$B$4:$B$163,0))&lt;=20,4.5,IF(INDEX('Player Board'!$H$4:$H$163,MATCH(E122,'Player Board'!$B$4:$B$163,0))&lt;=40,3.5,IF(INDEX('Player Board'!$H$4:$H$163,MATCH(E122,'Player Board'!$B$4:$B$163,0))&lt;=70,2.5,IF(INDEX('Player Board'!$H$4:$H$163,MATCH(E122,'Player Board'!$B$4:$B$163,0))&lt;=110,1.5,1)))),1))</f>
        <v>0</v>
      </c>
      <c r="S122" s="2"/>
      <c r="T122" s="2"/>
      <c r="U122" s="2"/>
      <c r="V122" s="2"/>
      <c r="W122" s="2"/>
      <c r="X122" s="2"/>
      <c r="Y122" s="2"/>
      <c r="Z122" s="2"/>
    </row>
    <row r="123" spans="1:26" ht="11" customHeight="1">
      <c r="A123" s="35">
        <v>120</v>
      </c>
      <c r="B123" s="35">
        <v>15</v>
      </c>
      <c r="C123" s="35">
        <v>8</v>
      </c>
      <c r="D123" s="35"/>
      <c r="E123" s="35"/>
      <c r="F123" s="35" t="str">
        <f>IFERROR(INDEX('Player Board'!$C$4:$C$163,MATCH(E123,'Player Board'!$B$4:$B$163,0)),"")</f>
        <v/>
      </c>
      <c r="G123" s="35" t="str">
        <f t="shared" si="3"/>
        <v>No</v>
      </c>
      <c r="H123" s="35" t="str">
        <f>IFERROR(INDEX('Player Board'!$H$4:$H$163,MATCH(E123,'Player Board'!$B$4:$B$163,0)),"")</f>
        <v/>
      </c>
      <c r="I123" s="34" t="str">
        <f>IF(E123="","",IFERROR(A123-INDEX('Player Board'!$Q$4:$Q$163,MATCH(E123,'Player Board'!$B$4:$B$163,0)),""))</f>
        <v/>
      </c>
      <c r="J123" s="35"/>
      <c r="K123" s="35" t="str">
        <f>IF(OR(D123&lt;&gt;"Noah",E123=""),"",F123&amp;"-"&amp;COUNTIFS($D$4:D123,"Noah",$F$4:F123,F123,$E$4:E123,"&lt;&gt;"))</f>
        <v/>
      </c>
      <c r="L123" s="35"/>
      <c r="M123" s="35"/>
      <c r="N123" s="35"/>
      <c r="O123" s="35"/>
      <c r="P123" s="35"/>
      <c r="Q123" s="35"/>
      <c r="R123" s="94">
        <f>IF(E123="",0,IFERROR(IF(INDEX('Player Board'!$H$4:$H$163,MATCH(E123,'Player Board'!$B$4:$B$163,0))&lt;=20,4.5,IF(INDEX('Player Board'!$H$4:$H$163,MATCH(E123,'Player Board'!$B$4:$B$163,0))&lt;=40,3.5,IF(INDEX('Player Board'!$H$4:$H$163,MATCH(E123,'Player Board'!$B$4:$B$163,0))&lt;=70,2.5,IF(INDEX('Player Board'!$H$4:$H$163,MATCH(E123,'Player Board'!$B$4:$B$163,0))&lt;=110,1.5,1)))),1))</f>
        <v>0</v>
      </c>
      <c r="S123" s="2"/>
      <c r="T123" s="2"/>
      <c r="U123" s="2"/>
      <c r="V123" s="2"/>
      <c r="W123" s="2"/>
      <c r="X123" s="2"/>
      <c r="Y123" s="2"/>
      <c r="Z123" s="2"/>
    </row>
    <row r="124" spans="1:26" ht="11" customHeight="1">
      <c r="A124" s="35">
        <v>121</v>
      </c>
      <c r="B124" s="35">
        <v>16</v>
      </c>
      <c r="C124" s="35">
        <v>1</v>
      </c>
      <c r="D124" s="35"/>
      <c r="E124" s="35"/>
      <c r="F124" s="35" t="str">
        <f>IFERROR(INDEX('Player Board'!$C$4:$C$163,MATCH(E124,'Player Board'!$B$4:$B$163,0)),"")</f>
        <v/>
      </c>
      <c r="G124" s="35" t="str">
        <f t="shared" si="3"/>
        <v>No</v>
      </c>
      <c r="H124" s="35" t="str">
        <f>IFERROR(INDEX('Player Board'!$H$4:$H$163,MATCH(E124,'Player Board'!$B$4:$B$163,0)),"")</f>
        <v/>
      </c>
      <c r="I124" s="35" t="str">
        <f>IF(E124="","",IFERROR(A124-INDEX('Player Board'!$Q$4:$Q$163,MATCH(E124,'Player Board'!$B$4:$B$163,0)),""))</f>
        <v/>
      </c>
      <c r="J124" s="35"/>
      <c r="K124" s="35" t="str">
        <f>IF(OR(D124&lt;&gt;"Noah",E124=""),"",F124&amp;"-"&amp;COUNTIFS($D$4:D124,"Noah",$F$4:F124,F124,$E$4:E124,"&lt;&gt;"))</f>
        <v/>
      </c>
      <c r="L124" s="35"/>
      <c r="M124" s="35"/>
      <c r="N124" s="35"/>
      <c r="O124" s="35"/>
      <c r="P124" s="35"/>
      <c r="Q124" s="35"/>
      <c r="R124" s="94">
        <f>IF(E124="",0,IFERROR(IF(INDEX('Player Board'!$H$4:$H$163,MATCH(E124,'Player Board'!$B$4:$B$163,0))&lt;=20,4.5,IF(INDEX('Player Board'!$H$4:$H$163,MATCH(E124,'Player Board'!$B$4:$B$163,0))&lt;=40,3.5,IF(INDEX('Player Board'!$H$4:$H$163,MATCH(E124,'Player Board'!$B$4:$B$163,0))&lt;=70,2.5,IF(INDEX('Player Board'!$H$4:$H$163,MATCH(E124,'Player Board'!$B$4:$B$163,0))&lt;=110,1.5,1)))),1))</f>
        <v>0</v>
      </c>
      <c r="S124" s="2"/>
      <c r="T124" s="2"/>
      <c r="U124" s="2"/>
      <c r="V124" s="2"/>
      <c r="W124" s="2"/>
      <c r="X124" s="2"/>
      <c r="Y124" s="2"/>
      <c r="Z124" s="2"/>
    </row>
    <row r="125" spans="1:26" ht="11" customHeight="1">
      <c r="A125" s="35">
        <v>122</v>
      </c>
      <c r="B125" s="35">
        <v>16</v>
      </c>
      <c r="C125" s="35">
        <v>2</v>
      </c>
      <c r="D125" s="35"/>
      <c r="E125" s="35"/>
      <c r="F125" s="35" t="str">
        <f>IFERROR(INDEX('Player Board'!$C$4:$C$163,MATCH(E125,'Player Board'!$B$4:$B$163,0)),"")</f>
        <v/>
      </c>
      <c r="G125" s="35" t="str">
        <f t="shared" si="3"/>
        <v>No</v>
      </c>
      <c r="H125" s="35" t="str">
        <f>IFERROR(INDEX('Player Board'!$H$4:$H$163,MATCH(E125,'Player Board'!$B$4:$B$163,0)),"")</f>
        <v/>
      </c>
      <c r="I125" s="35" t="str">
        <f>IF(E125="","",IFERROR(A125-INDEX('Player Board'!$Q$4:$Q$163,MATCH(E125,'Player Board'!$B$4:$B$163,0)),""))</f>
        <v/>
      </c>
      <c r="J125" s="35"/>
      <c r="K125" s="35" t="str">
        <f>IF(OR(D125&lt;&gt;"Noah",E125=""),"",F125&amp;"-"&amp;COUNTIFS($D$4:D125,"Noah",$F$4:F125,F125,$E$4:E125,"&lt;&gt;"))</f>
        <v/>
      </c>
      <c r="L125" s="35"/>
      <c r="M125" s="35"/>
      <c r="N125" s="35"/>
      <c r="O125" s="35"/>
      <c r="P125" s="35"/>
      <c r="Q125" s="35"/>
      <c r="R125" s="94">
        <f>IF(E125="",0,IFERROR(IF(INDEX('Player Board'!$H$4:$H$163,MATCH(E125,'Player Board'!$B$4:$B$163,0))&lt;=20,4.5,IF(INDEX('Player Board'!$H$4:$H$163,MATCH(E125,'Player Board'!$B$4:$B$163,0))&lt;=40,3.5,IF(INDEX('Player Board'!$H$4:$H$163,MATCH(E125,'Player Board'!$B$4:$B$163,0))&lt;=70,2.5,IF(INDEX('Player Board'!$H$4:$H$163,MATCH(E125,'Player Board'!$B$4:$B$163,0))&lt;=110,1.5,1)))),1))</f>
        <v>0</v>
      </c>
      <c r="S125" s="2"/>
      <c r="T125" s="2"/>
      <c r="U125" s="2"/>
      <c r="V125" s="2"/>
      <c r="W125" s="2"/>
      <c r="X125" s="2"/>
      <c r="Y125" s="2"/>
      <c r="Z125" s="2"/>
    </row>
    <row r="126" spans="1:26" ht="11" customHeight="1">
      <c r="A126" s="35">
        <v>123</v>
      </c>
      <c r="B126" s="35">
        <v>16</v>
      </c>
      <c r="C126" s="35">
        <v>3</v>
      </c>
      <c r="D126" s="35"/>
      <c r="E126" s="35"/>
      <c r="F126" s="35" t="str">
        <f>IFERROR(INDEX('Player Board'!$C$4:$C$163,MATCH(E126,'Player Board'!$B$4:$B$163,0)),"")</f>
        <v/>
      </c>
      <c r="G126" s="35" t="str">
        <f t="shared" si="3"/>
        <v>No</v>
      </c>
      <c r="H126" s="35" t="str">
        <f>IFERROR(INDEX('Player Board'!$H$4:$H$163,MATCH(E126,'Player Board'!$B$4:$B$163,0)),"")</f>
        <v/>
      </c>
      <c r="I126" s="35" t="str">
        <f>IF(E126="","",IFERROR(A126-INDEX('Player Board'!$Q$4:$Q$163,MATCH(E126,'Player Board'!$B$4:$B$163,0)),""))</f>
        <v/>
      </c>
      <c r="J126" s="35"/>
      <c r="K126" s="35" t="str">
        <f>IF(OR(D126&lt;&gt;"Noah",E126=""),"",F126&amp;"-"&amp;COUNTIFS($D$4:D126,"Noah",$F$4:F126,F126,$E$4:E126,"&lt;&gt;"))</f>
        <v/>
      </c>
      <c r="L126" s="35"/>
      <c r="M126" s="35"/>
      <c r="N126" s="35"/>
      <c r="O126" s="35"/>
      <c r="P126" s="35"/>
      <c r="Q126" s="35"/>
      <c r="R126" s="94">
        <f>IF(E126="",0,IFERROR(IF(INDEX('Player Board'!$H$4:$H$163,MATCH(E126,'Player Board'!$B$4:$B$163,0))&lt;=20,4.5,IF(INDEX('Player Board'!$H$4:$H$163,MATCH(E126,'Player Board'!$B$4:$B$163,0))&lt;=40,3.5,IF(INDEX('Player Board'!$H$4:$H$163,MATCH(E126,'Player Board'!$B$4:$B$163,0))&lt;=70,2.5,IF(INDEX('Player Board'!$H$4:$H$163,MATCH(E126,'Player Board'!$B$4:$B$163,0))&lt;=110,1.5,1)))),1))</f>
        <v>0</v>
      </c>
      <c r="S126" s="2"/>
      <c r="T126" s="2"/>
      <c r="U126" s="2"/>
      <c r="V126" s="2"/>
      <c r="W126" s="2"/>
      <c r="X126" s="2"/>
      <c r="Y126" s="2"/>
      <c r="Z126" s="2"/>
    </row>
    <row r="127" spans="1:26" ht="11" customHeight="1">
      <c r="A127" s="35">
        <v>124</v>
      </c>
      <c r="B127" s="35">
        <v>16</v>
      </c>
      <c r="C127" s="35">
        <v>4</v>
      </c>
      <c r="D127" s="35"/>
      <c r="E127" s="35"/>
      <c r="F127" s="35" t="str">
        <f>IFERROR(INDEX('Player Board'!$C$4:$C$163,MATCH(E127,'Player Board'!$B$4:$B$163,0)),"")</f>
        <v/>
      </c>
      <c r="G127" s="35" t="str">
        <f t="shared" si="3"/>
        <v>No</v>
      </c>
      <c r="H127" s="35" t="str">
        <f>IFERROR(INDEX('Player Board'!$H$4:$H$163,MATCH(E127,'Player Board'!$B$4:$B$163,0)),"")</f>
        <v/>
      </c>
      <c r="I127" s="35" t="str">
        <f>IF(E127="","",IFERROR(A127-INDEX('Player Board'!$Q$4:$Q$163,MATCH(E127,'Player Board'!$B$4:$B$163,0)),""))</f>
        <v/>
      </c>
      <c r="J127" s="35"/>
      <c r="K127" s="35" t="str">
        <f>IF(OR(D127&lt;&gt;"Noah",E127=""),"",F127&amp;"-"&amp;COUNTIFS($D$4:D127,"Noah",$F$4:F127,F127,$E$4:E127,"&lt;&gt;"))</f>
        <v/>
      </c>
      <c r="L127" s="35"/>
      <c r="M127" s="35"/>
      <c r="N127" s="35"/>
      <c r="O127" s="35"/>
      <c r="P127" s="35"/>
      <c r="Q127" s="35"/>
      <c r="R127" s="94">
        <f>IF(E127="",0,IFERROR(IF(INDEX('Player Board'!$H$4:$H$163,MATCH(E127,'Player Board'!$B$4:$B$163,0))&lt;=20,4.5,IF(INDEX('Player Board'!$H$4:$H$163,MATCH(E127,'Player Board'!$B$4:$B$163,0))&lt;=40,3.5,IF(INDEX('Player Board'!$H$4:$H$163,MATCH(E127,'Player Board'!$B$4:$B$163,0))&lt;=70,2.5,IF(INDEX('Player Board'!$H$4:$H$163,MATCH(E127,'Player Board'!$B$4:$B$163,0))&lt;=110,1.5,1)))),1))</f>
        <v>0</v>
      </c>
      <c r="S127" s="2"/>
      <c r="T127" s="2"/>
      <c r="U127" s="2"/>
      <c r="V127" s="2"/>
      <c r="W127" s="2"/>
      <c r="X127" s="2"/>
      <c r="Y127" s="2"/>
      <c r="Z127" s="2"/>
    </row>
    <row r="128" spans="1:26" ht="11" customHeight="1">
      <c r="A128" s="35">
        <v>125</v>
      </c>
      <c r="B128" s="35">
        <v>16</v>
      </c>
      <c r="C128" s="35">
        <v>5</v>
      </c>
      <c r="D128" s="35"/>
      <c r="E128" s="35"/>
      <c r="F128" s="35" t="str">
        <f>IFERROR(INDEX('Player Board'!$C$4:$C$163,MATCH(E128,'Player Board'!$B$4:$B$163,0)),"")</f>
        <v/>
      </c>
      <c r="G128" s="35" t="str">
        <f t="shared" si="3"/>
        <v>No</v>
      </c>
      <c r="H128" s="35" t="str">
        <f>IFERROR(INDEX('Player Board'!$H$4:$H$163,MATCH(E128,'Player Board'!$B$4:$B$163,0)),"")</f>
        <v/>
      </c>
      <c r="I128" s="35" t="str">
        <f>IF(E128="","",IFERROR(A128-INDEX('Player Board'!$Q$4:$Q$163,MATCH(E128,'Player Board'!$B$4:$B$163,0)),""))</f>
        <v/>
      </c>
      <c r="J128" s="35"/>
      <c r="K128" s="35" t="str">
        <f>IF(OR(D128&lt;&gt;"Noah",E128=""),"",F128&amp;"-"&amp;COUNTIFS($D$4:D128,"Noah",$F$4:F128,F128,$E$4:E128,"&lt;&gt;"))</f>
        <v/>
      </c>
      <c r="L128" s="35"/>
      <c r="M128" s="35"/>
      <c r="N128" s="35"/>
      <c r="O128" s="35"/>
      <c r="P128" s="35"/>
      <c r="Q128" s="35"/>
      <c r="R128" s="94">
        <f>IF(E128="",0,IFERROR(IF(INDEX('Player Board'!$H$4:$H$163,MATCH(E128,'Player Board'!$B$4:$B$163,0))&lt;=20,4.5,IF(INDEX('Player Board'!$H$4:$H$163,MATCH(E128,'Player Board'!$B$4:$B$163,0))&lt;=40,3.5,IF(INDEX('Player Board'!$H$4:$H$163,MATCH(E128,'Player Board'!$B$4:$B$163,0))&lt;=70,2.5,IF(INDEX('Player Board'!$H$4:$H$163,MATCH(E128,'Player Board'!$B$4:$B$163,0))&lt;=110,1.5,1)))),1))</f>
        <v>0</v>
      </c>
      <c r="S128" s="2"/>
      <c r="T128" s="2"/>
      <c r="U128" s="2"/>
      <c r="V128" s="2"/>
      <c r="W128" s="2"/>
      <c r="X128" s="2"/>
      <c r="Y128" s="2"/>
      <c r="Z128" s="2"/>
    </row>
    <row r="129" spans="1:26" ht="11" customHeight="1">
      <c r="A129" s="35">
        <v>126</v>
      </c>
      <c r="B129" s="35">
        <v>16</v>
      </c>
      <c r="C129" s="35">
        <v>6</v>
      </c>
      <c r="D129" s="35"/>
      <c r="E129" s="35"/>
      <c r="F129" s="35" t="str">
        <f>IFERROR(INDEX('Player Board'!$C$4:$C$163,MATCH(E129,'Player Board'!$B$4:$B$163,0)),"")</f>
        <v/>
      </c>
      <c r="G129" s="35" t="str">
        <f t="shared" si="3"/>
        <v>No</v>
      </c>
      <c r="H129" s="35" t="str">
        <f>IFERROR(INDEX('Player Board'!$H$4:$H$163,MATCH(E129,'Player Board'!$B$4:$B$163,0)),"")</f>
        <v/>
      </c>
      <c r="I129" s="35" t="str">
        <f>IF(E129="","",IFERROR(A129-INDEX('Player Board'!$Q$4:$Q$163,MATCH(E129,'Player Board'!$B$4:$B$163,0)),""))</f>
        <v/>
      </c>
      <c r="J129" s="35"/>
      <c r="K129" s="35" t="str">
        <f>IF(OR(D129&lt;&gt;"Noah",E129=""),"",F129&amp;"-"&amp;COUNTIFS($D$4:D129,"Noah",$F$4:F129,F129,$E$4:E129,"&lt;&gt;"))</f>
        <v/>
      </c>
      <c r="L129" s="35"/>
      <c r="M129" s="35"/>
      <c r="N129" s="35"/>
      <c r="O129" s="35"/>
      <c r="P129" s="35"/>
      <c r="Q129" s="35"/>
      <c r="R129" s="94">
        <f>IF(E129="",0,IFERROR(IF(INDEX('Player Board'!$H$4:$H$163,MATCH(E129,'Player Board'!$B$4:$B$163,0))&lt;=20,4.5,IF(INDEX('Player Board'!$H$4:$H$163,MATCH(E129,'Player Board'!$B$4:$B$163,0))&lt;=40,3.5,IF(INDEX('Player Board'!$H$4:$H$163,MATCH(E129,'Player Board'!$B$4:$B$163,0))&lt;=70,2.5,IF(INDEX('Player Board'!$H$4:$H$163,MATCH(E129,'Player Board'!$B$4:$B$163,0))&lt;=110,1.5,1)))),1))</f>
        <v>0</v>
      </c>
      <c r="S129" s="2"/>
      <c r="T129" s="2"/>
      <c r="U129" s="2"/>
      <c r="V129" s="2"/>
      <c r="W129" s="2"/>
      <c r="X129" s="2"/>
      <c r="Y129" s="2"/>
      <c r="Z129" s="2"/>
    </row>
    <row r="130" spans="1:26" ht="11" customHeight="1">
      <c r="A130" s="35">
        <v>127</v>
      </c>
      <c r="B130" s="35">
        <v>16</v>
      </c>
      <c r="C130" s="35">
        <v>7</v>
      </c>
      <c r="D130" s="35"/>
      <c r="E130" s="35"/>
      <c r="F130" s="35" t="str">
        <f>IFERROR(INDEX('Player Board'!$C$4:$C$163,MATCH(E130,'Player Board'!$B$4:$B$163,0)),"")</f>
        <v/>
      </c>
      <c r="G130" s="35" t="str">
        <f t="shared" si="3"/>
        <v>No</v>
      </c>
      <c r="H130" s="35" t="str">
        <f>IFERROR(INDEX('Player Board'!$H$4:$H$163,MATCH(E130,'Player Board'!$B$4:$B$163,0)),"")</f>
        <v/>
      </c>
      <c r="I130" s="35" t="str">
        <f>IF(E130="","",IFERROR(A130-INDEX('Player Board'!$Q$4:$Q$163,MATCH(E130,'Player Board'!$B$4:$B$163,0)),""))</f>
        <v/>
      </c>
      <c r="J130" s="35"/>
      <c r="K130" s="35" t="str">
        <f>IF(OR(D130&lt;&gt;"Noah",E130=""),"",F130&amp;"-"&amp;COUNTIFS($D$4:D130,"Noah",$F$4:F130,F130,$E$4:E130,"&lt;&gt;"))</f>
        <v/>
      </c>
      <c r="L130" s="35"/>
      <c r="M130" s="35"/>
      <c r="N130" s="35"/>
      <c r="O130" s="35"/>
      <c r="P130" s="35"/>
      <c r="Q130" s="35"/>
      <c r="R130" s="94">
        <f>IF(E130="",0,IFERROR(IF(INDEX('Player Board'!$H$4:$H$163,MATCH(E130,'Player Board'!$B$4:$B$163,0))&lt;=20,4.5,IF(INDEX('Player Board'!$H$4:$H$163,MATCH(E130,'Player Board'!$B$4:$B$163,0))&lt;=40,3.5,IF(INDEX('Player Board'!$H$4:$H$163,MATCH(E130,'Player Board'!$B$4:$B$163,0))&lt;=70,2.5,IF(INDEX('Player Board'!$H$4:$H$163,MATCH(E130,'Player Board'!$B$4:$B$163,0))&lt;=110,1.5,1)))),1))</f>
        <v>0</v>
      </c>
      <c r="S130" s="2"/>
      <c r="T130" s="2"/>
      <c r="U130" s="2"/>
      <c r="V130" s="2"/>
      <c r="W130" s="2"/>
      <c r="X130" s="2"/>
      <c r="Y130" s="2"/>
      <c r="Z130" s="2"/>
    </row>
    <row r="131" spans="1:26" ht="11" customHeight="1">
      <c r="A131" s="35">
        <v>128</v>
      </c>
      <c r="B131" s="35">
        <v>16</v>
      </c>
      <c r="C131" s="35">
        <v>8</v>
      </c>
      <c r="D131" s="35"/>
      <c r="E131" s="35"/>
      <c r="F131" s="35" t="str">
        <f>IFERROR(INDEX('Player Board'!$C$4:$C$163,MATCH(E131,'Player Board'!$B$4:$B$163,0)),"")</f>
        <v/>
      </c>
      <c r="G131" s="35" t="str">
        <f t="shared" si="3"/>
        <v>No</v>
      </c>
      <c r="H131" s="35" t="str">
        <f>IFERROR(INDEX('Player Board'!$H$4:$H$163,MATCH(E131,'Player Board'!$B$4:$B$163,0)),"")</f>
        <v/>
      </c>
      <c r="I131" s="35" t="str">
        <f>IF(E131="","",IFERROR(A131-INDEX('Player Board'!$Q$4:$Q$163,MATCH(E131,'Player Board'!$B$4:$B$163,0)),""))</f>
        <v/>
      </c>
      <c r="J131" s="35"/>
      <c r="K131" s="35" t="str">
        <f>IF(OR(D131&lt;&gt;"Noah",E131=""),"",F131&amp;"-"&amp;COUNTIFS($D$4:D131,"Noah",$F$4:F131,F131,$E$4:E131,"&lt;&gt;"))</f>
        <v/>
      </c>
      <c r="L131" s="35"/>
      <c r="M131" s="35"/>
      <c r="N131" s="35"/>
      <c r="O131" s="35"/>
      <c r="P131" s="35"/>
      <c r="Q131" s="35"/>
      <c r="R131" s="94">
        <f>IF(E131="",0,IFERROR(IF(INDEX('Player Board'!$H$4:$H$163,MATCH(E131,'Player Board'!$B$4:$B$163,0))&lt;=20,4.5,IF(INDEX('Player Board'!$H$4:$H$163,MATCH(E131,'Player Board'!$B$4:$B$163,0))&lt;=40,3.5,IF(INDEX('Player Board'!$H$4:$H$163,MATCH(E131,'Player Board'!$B$4:$B$163,0))&lt;=70,2.5,IF(INDEX('Player Board'!$H$4:$H$163,MATCH(E131,'Player Board'!$B$4:$B$163,0))&lt;=110,1.5,1)))),1))</f>
        <v>0</v>
      </c>
      <c r="S131" s="2"/>
      <c r="T131" s="2"/>
      <c r="U131" s="2"/>
      <c r="V131" s="2"/>
      <c r="W131" s="2"/>
      <c r="X131" s="2"/>
      <c r="Y131" s="2"/>
      <c r="Z131" s="2"/>
    </row>
    <row r="132" spans="1:26" ht="11" customHeight="1">
      <c r="A132" s="35">
        <v>129</v>
      </c>
      <c r="B132" s="35">
        <v>17</v>
      </c>
      <c r="C132" s="35">
        <v>1</v>
      </c>
      <c r="D132" s="35"/>
      <c r="E132" s="35"/>
      <c r="F132" s="35" t="str">
        <f>IFERROR(INDEX('Player Board'!$C$4:$C$163,MATCH(E132,'Player Board'!$B$4:$B$163,0)),"")</f>
        <v/>
      </c>
      <c r="G132" s="35" t="str">
        <f t="shared" ref="G132:G147" si="4">IF(D132="Noah","Yes","No")</f>
        <v>No</v>
      </c>
      <c r="H132" s="35" t="str">
        <f>IFERROR(INDEX('Player Board'!$H$4:$H$163,MATCH(E132,'Player Board'!$B$4:$B$163,0)),"")</f>
        <v/>
      </c>
      <c r="I132" s="35" t="str">
        <f>IF(E132="","",IFERROR(A132-INDEX('Player Board'!$Q$4:$Q$163,MATCH(E132,'Player Board'!$B$4:$B$163,0)),""))</f>
        <v/>
      </c>
      <c r="J132" s="35"/>
      <c r="K132" s="35" t="str">
        <f>IF(OR(D132&lt;&gt;"Noah",E132=""),"",F132&amp;"-"&amp;COUNTIFS($D$4:D132,"Noah",$F$4:F132,F132,$E$4:E132,"&lt;&gt;"))</f>
        <v/>
      </c>
      <c r="L132" s="35"/>
      <c r="M132" s="35"/>
      <c r="N132" s="35"/>
      <c r="O132" s="35"/>
      <c r="P132" s="35"/>
      <c r="Q132" s="35"/>
      <c r="R132" s="94">
        <f>IF(E132="",0,IFERROR(IF(INDEX('Player Board'!$H$4:$H$163,MATCH(E132,'Player Board'!$B$4:$B$163,0))&lt;=20,4.5,IF(INDEX('Player Board'!$H$4:$H$163,MATCH(E132,'Player Board'!$B$4:$B$163,0))&lt;=40,3.5,IF(INDEX('Player Board'!$H$4:$H$163,MATCH(E132,'Player Board'!$B$4:$B$163,0))&lt;=70,2.5,IF(INDEX('Player Board'!$H$4:$H$163,MATCH(E132,'Player Board'!$B$4:$B$163,0))&lt;=110,1.5,1)))),1))</f>
        <v>0</v>
      </c>
      <c r="S132" s="2"/>
      <c r="T132" s="2"/>
      <c r="U132" s="2"/>
      <c r="V132" s="2"/>
      <c r="W132" s="2"/>
      <c r="X132" s="2"/>
      <c r="Y132" s="2"/>
      <c r="Z132" s="2"/>
    </row>
    <row r="133" spans="1:26" ht="11" customHeight="1">
      <c r="A133" s="35">
        <v>130</v>
      </c>
      <c r="B133" s="35">
        <v>17</v>
      </c>
      <c r="C133" s="35">
        <v>2</v>
      </c>
      <c r="D133" s="35"/>
      <c r="E133" s="35"/>
      <c r="F133" s="35" t="str">
        <f>IFERROR(INDEX('Player Board'!$C$4:$C$163,MATCH(E133,'Player Board'!$B$4:$B$163,0)),"")</f>
        <v/>
      </c>
      <c r="G133" s="35" t="str">
        <f t="shared" si="4"/>
        <v>No</v>
      </c>
      <c r="H133" s="35" t="str">
        <f>IFERROR(INDEX('Player Board'!$H$4:$H$163,MATCH(E133,'Player Board'!$B$4:$B$163,0)),"")</f>
        <v/>
      </c>
      <c r="I133" s="35" t="str">
        <f>IF(E133="","",IFERROR(A133-INDEX('Player Board'!$Q$4:$Q$163,MATCH(E133,'Player Board'!$B$4:$B$163,0)),""))</f>
        <v/>
      </c>
      <c r="J133" s="35"/>
      <c r="K133" s="35" t="str">
        <f>IF(OR(D133&lt;&gt;"Noah",E133=""),"",F133&amp;"-"&amp;COUNTIFS($D$4:D133,"Noah",$F$4:F133,F133,$E$4:E133,"&lt;&gt;"))</f>
        <v/>
      </c>
      <c r="L133" s="35"/>
      <c r="M133" s="35"/>
      <c r="N133" s="35"/>
      <c r="O133" s="35"/>
      <c r="P133" s="35"/>
      <c r="Q133" s="35"/>
      <c r="R133" s="94">
        <f>IF(E133="",0,IFERROR(IF(INDEX('Player Board'!$H$4:$H$163,MATCH(E133,'Player Board'!$B$4:$B$163,0))&lt;=20,4.5,IF(INDEX('Player Board'!$H$4:$H$163,MATCH(E133,'Player Board'!$B$4:$B$163,0))&lt;=40,3.5,IF(INDEX('Player Board'!$H$4:$H$163,MATCH(E133,'Player Board'!$B$4:$B$163,0))&lt;=70,2.5,IF(INDEX('Player Board'!$H$4:$H$163,MATCH(E133,'Player Board'!$B$4:$B$163,0))&lt;=110,1.5,1)))),1))</f>
        <v>0</v>
      </c>
      <c r="S133" s="2"/>
      <c r="T133" s="2"/>
      <c r="U133" s="2"/>
      <c r="V133" s="2"/>
      <c r="W133" s="2"/>
      <c r="X133" s="2"/>
      <c r="Y133" s="2"/>
      <c r="Z133" s="2"/>
    </row>
    <row r="134" spans="1:26" ht="11" customHeight="1">
      <c r="A134" s="35">
        <v>131</v>
      </c>
      <c r="B134" s="35">
        <v>17</v>
      </c>
      <c r="C134" s="35">
        <v>3</v>
      </c>
      <c r="D134" s="35"/>
      <c r="E134" s="35"/>
      <c r="F134" s="35" t="str">
        <f>IFERROR(INDEX('Player Board'!$C$4:$C$163,MATCH(E134,'Player Board'!$B$4:$B$163,0)),"")</f>
        <v/>
      </c>
      <c r="G134" s="35" t="str">
        <f t="shared" si="4"/>
        <v>No</v>
      </c>
      <c r="H134" s="35" t="str">
        <f>IFERROR(INDEX('Player Board'!$H$4:$H$163,MATCH(E134,'Player Board'!$B$4:$B$163,0)),"")</f>
        <v/>
      </c>
      <c r="I134" s="35" t="str">
        <f>IF(E134="","",IFERROR(A134-INDEX('Player Board'!$Q$4:$Q$163,MATCH(E134,'Player Board'!$B$4:$B$163,0)),""))</f>
        <v/>
      </c>
      <c r="J134" s="35"/>
      <c r="K134" s="35" t="str">
        <f>IF(OR(D134&lt;&gt;"Noah",E134=""),"",F134&amp;"-"&amp;COUNTIFS($D$4:D134,"Noah",$F$4:F134,F134,$E$4:E134,"&lt;&gt;"))</f>
        <v/>
      </c>
      <c r="L134" s="35"/>
      <c r="M134" s="35"/>
      <c r="N134" s="35"/>
      <c r="O134" s="35"/>
      <c r="P134" s="35"/>
      <c r="Q134" s="35"/>
      <c r="R134" s="94">
        <f>IF(E134="",0,IFERROR(IF(INDEX('Player Board'!$H$4:$H$163,MATCH(E134,'Player Board'!$B$4:$B$163,0))&lt;=20,4.5,IF(INDEX('Player Board'!$H$4:$H$163,MATCH(E134,'Player Board'!$B$4:$B$163,0))&lt;=40,3.5,IF(INDEX('Player Board'!$H$4:$H$163,MATCH(E134,'Player Board'!$B$4:$B$163,0))&lt;=70,2.5,IF(INDEX('Player Board'!$H$4:$H$163,MATCH(E134,'Player Board'!$B$4:$B$163,0))&lt;=110,1.5,1)))),1))</f>
        <v>0</v>
      </c>
      <c r="S134" s="2"/>
      <c r="T134" s="2"/>
      <c r="U134" s="2"/>
      <c r="V134" s="2"/>
      <c r="W134" s="2"/>
      <c r="X134" s="2"/>
      <c r="Y134" s="2"/>
      <c r="Z134" s="2"/>
    </row>
    <row r="135" spans="1:26" ht="11" customHeight="1">
      <c r="A135" s="35">
        <v>132</v>
      </c>
      <c r="B135" s="35">
        <v>17</v>
      </c>
      <c r="C135" s="35">
        <v>4</v>
      </c>
      <c r="D135" s="35"/>
      <c r="E135" s="35"/>
      <c r="F135" s="35" t="str">
        <f>IFERROR(INDEX('Player Board'!$C$4:$C$163,MATCH(E135,'Player Board'!$B$4:$B$163,0)),"")</f>
        <v/>
      </c>
      <c r="G135" s="35" t="str">
        <f t="shared" si="4"/>
        <v>No</v>
      </c>
      <c r="H135" s="35" t="str">
        <f>IFERROR(INDEX('Player Board'!$H$4:$H$163,MATCH(E135,'Player Board'!$B$4:$B$163,0)),"")</f>
        <v/>
      </c>
      <c r="I135" s="35" t="str">
        <f>IF(E135="","",IFERROR(A135-INDEX('Player Board'!$Q$4:$Q$163,MATCH(E135,'Player Board'!$B$4:$B$163,0)),""))</f>
        <v/>
      </c>
      <c r="J135" s="35"/>
      <c r="K135" s="35" t="str">
        <f>IF(OR(D135&lt;&gt;"Noah",E135=""),"",F135&amp;"-"&amp;COUNTIFS($D$4:D135,"Noah",$F$4:F135,F135,$E$4:E135,"&lt;&gt;"))</f>
        <v/>
      </c>
      <c r="L135" s="35"/>
      <c r="M135" s="35"/>
      <c r="N135" s="35"/>
      <c r="O135" s="35"/>
      <c r="P135" s="35"/>
      <c r="Q135" s="35"/>
      <c r="R135" s="94">
        <f>IF(E135="",0,IFERROR(IF(INDEX('Player Board'!$H$4:$H$163,MATCH(E135,'Player Board'!$B$4:$B$163,0))&lt;=20,4.5,IF(INDEX('Player Board'!$H$4:$H$163,MATCH(E135,'Player Board'!$B$4:$B$163,0))&lt;=40,3.5,IF(INDEX('Player Board'!$H$4:$H$163,MATCH(E135,'Player Board'!$B$4:$B$163,0))&lt;=70,2.5,IF(INDEX('Player Board'!$H$4:$H$163,MATCH(E135,'Player Board'!$B$4:$B$163,0))&lt;=110,1.5,1)))),1))</f>
        <v>0</v>
      </c>
      <c r="S135" s="2"/>
      <c r="T135" s="2"/>
      <c r="U135" s="2"/>
      <c r="V135" s="2"/>
      <c r="W135" s="2"/>
      <c r="X135" s="2"/>
      <c r="Y135" s="2"/>
      <c r="Z135" s="2"/>
    </row>
    <row r="136" spans="1:26" ht="11" customHeight="1">
      <c r="A136" s="35">
        <v>133</v>
      </c>
      <c r="B136" s="35">
        <v>17</v>
      </c>
      <c r="C136" s="35">
        <v>5</v>
      </c>
      <c r="D136" s="35"/>
      <c r="E136" s="35"/>
      <c r="F136" s="35" t="str">
        <f>IFERROR(INDEX('Player Board'!$C$4:$C$163,MATCH(E136,'Player Board'!$B$4:$B$163,0)),"")</f>
        <v/>
      </c>
      <c r="G136" s="35" t="str">
        <f t="shared" si="4"/>
        <v>No</v>
      </c>
      <c r="H136" s="35" t="str">
        <f>IFERROR(INDEX('Player Board'!$H$4:$H$163,MATCH(E136,'Player Board'!$B$4:$B$163,0)),"")</f>
        <v/>
      </c>
      <c r="I136" s="35" t="str">
        <f>IF(E136="","",IFERROR(A136-INDEX('Player Board'!$Q$4:$Q$163,MATCH(E136,'Player Board'!$B$4:$B$163,0)),""))</f>
        <v/>
      </c>
      <c r="J136" s="35"/>
      <c r="K136" s="35" t="str">
        <f>IF(OR(D136&lt;&gt;"Noah",E136=""),"",F136&amp;"-"&amp;COUNTIFS($D$4:D136,"Noah",$F$4:F136,F136,$E$4:E136,"&lt;&gt;"))</f>
        <v/>
      </c>
      <c r="L136" s="35"/>
      <c r="M136" s="35"/>
      <c r="N136" s="35"/>
      <c r="O136" s="35"/>
      <c r="P136" s="35"/>
      <c r="Q136" s="35"/>
      <c r="R136" s="94">
        <f>IF(E136="",0,IFERROR(IF(INDEX('Player Board'!$H$4:$H$163,MATCH(E136,'Player Board'!$B$4:$B$163,0))&lt;=20,4.5,IF(INDEX('Player Board'!$H$4:$H$163,MATCH(E136,'Player Board'!$B$4:$B$163,0))&lt;=40,3.5,IF(INDEX('Player Board'!$H$4:$H$163,MATCH(E136,'Player Board'!$B$4:$B$163,0))&lt;=70,2.5,IF(INDEX('Player Board'!$H$4:$H$163,MATCH(E136,'Player Board'!$B$4:$B$163,0))&lt;=110,1.5,1)))),1))</f>
        <v>0</v>
      </c>
      <c r="S136" s="2"/>
      <c r="T136" s="2"/>
      <c r="U136" s="2"/>
      <c r="V136" s="2"/>
      <c r="W136" s="2"/>
      <c r="X136" s="2"/>
      <c r="Y136" s="2"/>
      <c r="Z136" s="2"/>
    </row>
    <row r="137" spans="1:26" ht="11" customHeight="1">
      <c r="A137" s="35">
        <v>134</v>
      </c>
      <c r="B137" s="35">
        <v>17</v>
      </c>
      <c r="C137" s="35">
        <v>6</v>
      </c>
      <c r="D137" s="35"/>
      <c r="E137" s="35"/>
      <c r="F137" s="35" t="str">
        <f>IFERROR(INDEX('Player Board'!$C$4:$C$163,MATCH(E137,'Player Board'!$B$4:$B$163,0)),"")</f>
        <v/>
      </c>
      <c r="G137" s="35" t="str">
        <f t="shared" si="4"/>
        <v>No</v>
      </c>
      <c r="H137" s="35" t="str">
        <f>IFERROR(INDEX('Player Board'!$H$4:$H$163,MATCH(E137,'Player Board'!$B$4:$B$163,0)),"")</f>
        <v/>
      </c>
      <c r="I137" s="35" t="str">
        <f>IF(E137="","",IFERROR(A137-INDEX('Player Board'!$Q$4:$Q$163,MATCH(E137,'Player Board'!$B$4:$B$163,0)),""))</f>
        <v/>
      </c>
      <c r="J137" s="35"/>
      <c r="K137" s="35" t="str">
        <f>IF(OR(D137&lt;&gt;"Noah",E137=""),"",F137&amp;"-"&amp;COUNTIFS($D$4:D137,"Noah",$F$4:F137,F137,$E$4:E137,"&lt;&gt;"))</f>
        <v/>
      </c>
      <c r="L137" s="35"/>
      <c r="M137" s="35"/>
      <c r="N137" s="35"/>
      <c r="O137" s="35"/>
      <c r="P137" s="35"/>
      <c r="Q137" s="35"/>
      <c r="R137" s="94">
        <f>IF(E137="",0,IFERROR(IF(INDEX('Player Board'!$H$4:$H$163,MATCH(E137,'Player Board'!$B$4:$B$163,0))&lt;=20,4.5,IF(INDEX('Player Board'!$H$4:$H$163,MATCH(E137,'Player Board'!$B$4:$B$163,0))&lt;=40,3.5,IF(INDEX('Player Board'!$H$4:$H$163,MATCH(E137,'Player Board'!$B$4:$B$163,0))&lt;=70,2.5,IF(INDEX('Player Board'!$H$4:$H$163,MATCH(E137,'Player Board'!$B$4:$B$163,0))&lt;=110,1.5,1)))),1))</f>
        <v>0</v>
      </c>
      <c r="S137" s="2"/>
      <c r="T137" s="2"/>
      <c r="U137" s="2"/>
      <c r="V137" s="2"/>
      <c r="W137" s="2"/>
      <c r="X137" s="2"/>
      <c r="Y137" s="2"/>
      <c r="Z137" s="2"/>
    </row>
    <row r="138" spans="1:26" ht="11" customHeight="1">
      <c r="A138" s="35">
        <v>135</v>
      </c>
      <c r="B138" s="35">
        <v>17</v>
      </c>
      <c r="C138" s="35">
        <v>7</v>
      </c>
      <c r="D138" s="35"/>
      <c r="E138" s="35"/>
      <c r="F138" s="35" t="str">
        <f>IFERROR(INDEX('Player Board'!$C$4:$C$163,MATCH(E138,'Player Board'!$B$4:$B$163,0)),"")</f>
        <v/>
      </c>
      <c r="G138" s="35" t="str">
        <f t="shared" si="4"/>
        <v>No</v>
      </c>
      <c r="H138" s="35" t="str">
        <f>IFERROR(INDEX('Player Board'!$H$4:$H$163,MATCH(E138,'Player Board'!$B$4:$B$163,0)),"")</f>
        <v/>
      </c>
      <c r="I138" s="35" t="str">
        <f>IF(E138="","",IFERROR(A138-INDEX('Player Board'!$Q$4:$Q$163,MATCH(E138,'Player Board'!$B$4:$B$163,0)),""))</f>
        <v/>
      </c>
      <c r="J138" s="35"/>
      <c r="K138" s="35" t="str">
        <f>IF(OR(D138&lt;&gt;"Noah",E138=""),"",F138&amp;"-"&amp;COUNTIFS($D$4:D138,"Noah",$F$4:F138,F138,$E$4:E138,"&lt;&gt;"))</f>
        <v/>
      </c>
      <c r="L138" s="35"/>
      <c r="M138" s="35"/>
      <c r="N138" s="35"/>
      <c r="O138" s="35"/>
      <c r="P138" s="35"/>
      <c r="Q138" s="35"/>
      <c r="R138" s="94">
        <f>IF(E138="",0,IFERROR(IF(INDEX('Player Board'!$H$4:$H$163,MATCH(E138,'Player Board'!$B$4:$B$163,0))&lt;=20,4.5,IF(INDEX('Player Board'!$H$4:$H$163,MATCH(E138,'Player Board'!$B$4:$B$163,0))&lt;=40,3.5,IF(INDEX('Player Board'!$H$4:$H$163,MATCH(E138,'Player Board'!$B$4:$B$163,0))&lt;=70,2.5,IF(INDEX('Player Board'!$H$4:$H$163,MATCH(E138,'Player Board'!$B$4:$B$163,0))&lt;=110,1.5,1)))),1))</f>
        <v>0</v>
      </c>
      <c r="S138" s="2"/>
      <c r="T138" s="2"/>
      <c r="U138" s="2"/>
      <c r="V138" s="2"/>
      <c r="W138" s="2"/>
      <c r="X138" s="2"/>
      <c r="Y138" s="2"/>
      <c r="Z138" s="2"/>
    </row>
    <row r="139" spans="1:26" ht="11" customHeight="1">
      <c r="A139" s="35">
        <v>136</v>
      </c>
      <c r="B139" s="35">
        <v>17</v>
      </c>
      <c r="C139" s="35">
        <v>8</v>
      </c>
      <c r="D139" s="35"/>
      <c r="E139" s="35"/>
      <c r="F139" s="35" t="str">
        <f>IFERROR(INDEX('Player Board'!$C$4:$C$163,MATCH(E139,'Player Board'!$B$4:$B$163,0)),"")</f>
        <v/>
      </c>
      <c r="G139" s="35" t="str">
        <f t="shared" si="4"/>
        <v>No</v>
      </c>
      <c r="H139" s="35" t="str">
        <f>IFERROR(INDEX('Player Board'!$H$4:$H$163,MATCH(E139,'Player Board'!$B$4:$B$163,0)),"")</f>
        <v/>
      </c>
      <c r="I139" s="35" t="str">
        <f>IF(E139="","",IFERROR(A139-INDEX('Player Board'!$Q$4:$Q$163,MATCH(E139,'Player Board'!$B$4:$B$163,0)),""))</f>
        <v/>
      </c>
      <c r="J139" s="35"/>
      <c r="K139" s="35" t="str">
        <f>IF(OR(D139&lt;&gt;"Noah",E139=""),"",F139&amp;"-"&amp;COUNTIFS($D$4:D139,"Noah",$F$4:F139,F139,$E$4:E139,"&lt;&gt;"))</f>
        <v/>
      </c>
      <c r="L139" s="35"/>
      <c r="M139" s="35"/>
      <c r="N139" s="35"/>
      <c r="O139" s="35"/>
      <c r="P139" s="35"/>
      <c r="Q139" s="35"/>
      <c r="R139" s="94">
        <f>IF(E139="",0,IFERROR(IF(INDEX('Player Board'!$H$4:$H$163,MATCH(E139,'Player Board'!$B$4:$B$163,0))&lt;=20,4.5,IF(INDEX('Player Board'!$H$4:$H$163,MATCH(E139,'Player Board'!$B$4:$B$163,0))&lt;=40,3.5,IF(INDEX('Player Board'!$H$4:$H$163,MATCH(E139,'Player Board'!$B$4:$B$163,0))&lt;=70,2.5,IF(INDEX('Player Board'!$H$4:$H$163,MATCH(E139,'Player Board'!$B$4:$B$163,0))&lt;=110,1.5,1)))),1))</f>
        <v>0</v>
      </c>
      <c r="S139" s="2"/>
      <c r="T139" s="2"/>
      <c r="U139" s="2"/>
      <c r="V139" s="2"/>
      <c r="W139" s="2"/>
      <c r="X139" s="2"/>
      <c r="Y139" s="2"/>
      <c r="Z139" s="2"/>
    </row>
    <row r="140" spans="1:26" ht="11" customHeight="1">
      <c r="A140" s="35">
        <v>137</v>
      </c>
      <c r="B140" s="35">
        <v>18</v>
      </c>
      <c r="C140" s="35">
        <v>1</v>
      </c>
      <c r="D140" s="35"/>
      <c r="E140" s="35"/>
      <c r="F140" s="35" t="str">
        <f>IFERROR(INDEX('Player Board'!$C$4:$C$163,MATCH(E140,'Player Board'!$B$4:$B$163,0)),"")</f>
        <v/>
      </c>
      <c r="G140" s="35" t="str">
        <f t="shared" si="4"/>
        <v>No</v>
      </c>
      <c r="H140" s="35" t="str">
        <f>IFERROR(INDEX('Player Board'!$H$4:$H$163,MATCH(E140,'Player Board'!$B$4:$B$163,0)),"")</f>
        <v/>
      </c>
      <c r="I140" s="35" t="str">
        <f>IF(E140="","",IFERROR(A140-INDEX('Player Board'!$Q$4:$Q$163,MATCH(E140,'Player Board'!$B$4:$B$163,0)),""))</f>
        <v/>
      </c>
      <c r="J140" s="35"/>
      <c r="K140" s="35" t="str">
        <f>IF(OR(D140&lt;&gt;"Noah",E140=""),"",F140&amp;"-"&amp;COUNTIFS($D$4:D140,"Noah",$F$4:F140,F140,$E$4:E140,"&lt;&gt;"))</f>
        <v/>
      </c>
      <c r="L140" s="35"/>
      <c r="M140" s="35"/>
      <c r="N140" s="35"/>
      <c r="O140" s="35"/>
      <c r="P140" s="35"/>
      <c r="Q140" s="35"/>
      <c r="R140" s="94">
        <f>IF(E140="",0,IFERROR(IF(INDEX('Player Board'!$H$4:$H$163,MATCH(E140,'Player Board'!$B$4:$B$163,0))&lt;=20,4.5,IF(INDEX('Player Board'!$H$4:$H$163,MATCH(E140,'Player Board'!$B$4:$B$163,0))&lt;=40,3.5,IF(INDEX('Player Board'!$H$4:$H$163,MATCH(E140,'Player Board'!$B$4:$B$163,0))&lt;=70,2.5,IF(INDEX('Player Board'!$H$4:$H$163,MATCH(E140,'Player Board'!$B$4:$B$163,0))&lt;=110,1.5,1)))),1))</f>
        <v>0</v>
      </c>
      <c r="S140" s="2"/>
      <c r="T140" s="2"/>
      <c r="U140" s="2"/>
      <c r="V140" s="2"/>
      <c r="W140" s="2"/>
      <c r="X140" s="2"/>
      <c r="Y140" s="2"/>
      <c r="Z140" s="2"/>
    </row>
    <row r="141" spans="1:26" ht="11" customHeight="1">
      <c r="A141" s="35">
        <v>138</v>
      </c>
      <c r="B141" s="35">
        <v>18</v>
      </c>
      <c r="C141" s="35">
        <v>2</v>
      </c>
      <c r="D141" s="35"/>
      <c r="E141" s="35"/>
      <c r="F141" s="35" t="str">
        <f>IFERROR(INDEX('Player Board'!$C$4:$C$163,MATCH(E141,'Player Board'!$B$4:$B$163,0)),"")</f>
        <v/>
      </c>
      <c r="G141" s="35" t="str">
        <f t="shared" si="4"/>
        <v>No</v>
      </c>
      <c r="H141" s="35" t="str">
        <f>IFERROR(INDEX('Player Board'!$H$4:$H$163,MATCH(E141,'Player Board'!$B$4:$B$163,0)),"")</f>
        <v/>
      </c>
      <c r="I141" s="35" t="str">
        <f>IF(E141="","",IFERROR(A141-INDEX('Player Board'!$Q$4:$Q$163,MATCH(E141,'Player Board'!$B$4:$B$163,0)),""))</f>
        <v/>
      </c>
      <c r="J141" s="35"/>
      <c r="K141" s="35" t="str">
        <f>IF(OR(D141&lt;&gt;"Noah",E141=""),"",F141&amp;"-"&amp;COUNTIFS($D$4:D141,"Noah",$F$4:F141,F141,$E$4:E141,"&lt;&gt;"))</f>
        <v/>
      </c>
      <c r="L141" s="35"/>
      <c r="M141" s="35"/>
      <c r="N141" s="35"/>
      <c r="O141" s="35"/>
      <c r="P141" s="35"/>
      <c r="Q141" s="35"/>
      <c r="R141" s="94">
        <f>IF(E141="",0,IFERROR(IF(INDEX('Player Board'!$H$4:$H$163,MATCH(E141,'Player Board'!$B$4:$B$163,0))&lt;=20,4.5,IF(INDEX('Player Board'!$H$4:$H$163,MATCH(E141,'Player Board'!$B$4:$B$163,0))&lt;=40,3.5,IF(INDEX('Player Board'!$H$4:$H$163,MATCH(E141,'Player Board'!$B$4:$B$163,0))&lt;=70,2.5,IF(INDEX('Player Board'!$H$4:$H$163,MATCH(E141,'Player Board'!$B$4:$B$163,0))&lt;=110,1.5,1)))),1))</f>
        <v>0</v>
      </c>
      <c r="S141" s="2"/>
      <c r="T141" s="2"/>
      <c r="U141" s="2"/>
      <c r="V141" s="2"/>
      <c r="W141" s="2"/>
      <c r="X141" s="2"/>
      <c r="Y141" s="2"/>
      <c r="Z141" s="2"/>
    </row>
    <row r="142" spans="1:26" ht="11" customHeight="1">
      <c r="A142" s="35">
        <v>139</v>
      </c>
      <c r="B142" s="35">
        <v>18</v>
      </c>
      <c r="C142" s="35">
        <v>3</v>
      </c>
      <c r="D142" s="35"/>
      <c r="E142" s="35"/>
      <c r="F142" s="35" t="str">
        <f>IFERROR(INDEX('Player Board'!$C$4:$C$163,MATCH(E142,'Player Board'!$B$4:$B$163,0)),"")</f>
        <v/>
      </c>
      <c r="G142" s="35" t="str">
        <f t="shared" si="4"/>
        <v>No</v>
      </c>
      <c r="H142" s="35" t="str">
        <f>IFERROR(INDEX('Player Board'!$H$4:$H$163,MATCH(E142,'Player Board'!$B$4:$B$163,0)),"")</f>
        <v/>
      </c>
      <c r="I142" s="35" t="str">
        <f>IF(E142="","",IFERROR(A142-INDEX('Player Board'!$Q$4:$Q$163,MATCH(E142,'Player Board'!$B$4:$B$163,0)),""))</f>
        <v/>
      </c>
      <c r="J142" s="35"/>
      <c r="K142" s="35" t="str">
        <f>IF(OR(D142&lt;&gt;"Noah",E142=""),"",F142&amp;"-"&amp;COUNTIFS($D$4:D142,"Noah",$F$4:F142,F142,$E$4:E142,"&lt;&gt;"))</f>
        <v/>
      </c>
      <c r="L142" s="35"/>
      <c r="M142" s="35"/>
      <c r="N142" s="35"/>
      <c r="O142" s="35"/>
      <c r="P142" s="35"/>
      <c r="Q142" s="35"/>
      <c r="R142" s="94">
        <f>IF(E142="",0,IFERROR(IF(INDEX('Player Board'!$H$4:$H$163,MATCH(E142,'Player Board'!$B$4:$B$163,0))&lt;=20,4.5,IF(INDEX('Player Board'!$H$4:$H$163,MATCH(E142,'Player Board'!$B$4:$B$163,0))&lt;=40,3.5,IF(INDEX('Player Board'!$H$4:$H$163,MATCH(E142,'Player Board'!$B$4:$B$163,0))&lt;=70,2.5,IF(INDEX('Player Board'!$H$4:$H$163,MATCH(E142,'Player Board'!$B$4:$B$163,0))&lt;=110,1.5,1)))),1))</f>
        <v>0</v>
      </c>
      <c r="S142" s="2"/>
      <c r="T142" s="2"/>
      <c r="U142" s="2"/>
      <c r="V142" s="2"/>
      <c r="W142" s="2"/>
      <c r="X142" s="2"/>
      <c r="Y142" s="2"/>
      <c r="Z142" s="2"/>
    </row>
    <row r="143" spans="1:26" ht="11" customHeight="1">
      <c r="A143" s="35">
        <v>140</v>
      </c>
      <c r="B143" s="35">
        <v>18</v>
      </c>
      <c r="C143" s="35">
        <v>4</v>
      </c>
      <c r="D143" s="35"/>
      <c r="E143" s="35"/>
      <c r="F143" s="35" t="str">
        <f>IFERROR(INDEX('Player Board'!$C$4:$C$163,MATCH(E143,'Player Board'!$B$4:$B$163,0)),"")</f>
        <v/>
      </c>
      <c r="G143" s="35" t="str">
        <f t="shared" si="4"/>
        <v>No</v>
      </c>
      <c r="H143" s="35" t="str">
        <f>IFERROR(INDEX('Player Board'!$H$4:$H$163,MATCH(E143,'Player Board'!$B$4:$B$163,0)),"")</f>
        <v/>
      </c>
      <c r="I143" s="35" t="str">
        <f>IF(E143="","",IFERROR(A143-INDEX('Player Board'!$Q$4:$Q$163,MATCH(E143,'Player Board'!$B$4:$B$163,0)),""))</f>
        <v/>
      </c>
      <c r="J143" s="35"/>
      <c r="K143" s="35" t="str">
        <f>IF(OR(D143&lt;&gt;"Noah",E143=""),"",F143&amp;"-"&amp;COUNTIFS($D$4:D143,"Noah",$F$4:F143,F143,$E$4:E143,"&lt;&gt;"))</f>
        <v/>
      </c>
      <c r="L143" s="35"/>
      <c r="M143" s="35"/>
      <c r="N143" s="35"/>
      <c r="O143" s="35"/>
      <c r="P143" s="35"/>
      <c r="Q143" s="35"/>
      <c r="R143" s="94">
        <f>IF(E143="",0,IFERROR(IF(INDEX('Player Board'!$H$4:$H$163,MATCH(E143,'Player Board'!$B$4:$B$163,0))&lt;=20,4.5,IF(INDEX('Player Board'!$H$4:$H$163,MATCH(E143,'Player Board'!$B$4:$B$163,0))&lt;=40,3.5,IF(INDEX('Player Board'!$H$4:$H$163,MATCH(E143,'Player Board'!$B$4:$B$163,0))&lt;=70,2.5,IF(INDEX('Player Board'!$H$4:$H$163,MATCH(E143,'Player Board'!$B$4:$B$163,0))&lt;=110,1.5,1)))),1))</f>
        <v>0</v>
      </c>
      <c r="S143" s="2"/>
      <c r="T143" s="2"/>
      <c r="U143" s="2"/>
      <c r="V143" s="2"/>
      <c r="W143" s="2"/>
      <c r="X143" s="2"/>
      <c r="Y143" s="2"/>
      <c r="Z143" s="2"/>
    </row>
    <row r="144" spans="1:26" ht="11" customHeight="1">
      <c r="A144" s="35">
        <v>141</v>
      </c>
      <c r="B144" s="35">
        <v>18</v>
      </c>
      <c r="C144" s="35">
        <v>5</v>
      </c>
      <c r="D144" s="35"/>
      <c r="E144" s="35"/>
      <c r="F144" s="35" t="str">
        <f>IFERROR(INDEX('Player Board'!$C$4:$C$163,MATCH(E144,'Player Board'!$B$4:$B$163,0)),"")</f>
        <v/>
      </c>
      <c r="G144" s="35" t="str">
        <f t="shared" si="4"/>
        <v>No</v>
      </c>
      <c r="H144" s="35" t="str">
        <f>IFERROR(INDEX('Player Board'!$H$4:$H$163,MATCH(E144,'Player Board'!$B$4:$B$163,0)),"")</f>
        <v/>
      </c>
      <c r="I144" s="35" t="str">
        <f>IF(E144="","",IFERROR(A144-INDEX('Player Board'!$Q$4:$Q$163,MATCH(E144,'Player Board'!$B$4:$B$163,0)),""))</f>
        <v/>
      </c>
      <c r="J144" s="35"/>
      <c r="K144" s="35" t="str">
        <f>IF(OR(D144&lt;&gt;"Noah",E144=""),"",F144&amp;"-"&amp;COUNTIFS($D$4:D144,"Noah",$F$4:F144,F144,$E$4:E144,"&lt;&gt;"))</f>
        <v/>
      </c>
      <c r="L144" s="35"/>
      <c r="M144" s="35"/>
      <c r="N144" s="35"/>
      <c r="O144" s="35"/>
      <c r="P144" s="35"/>
      <c r="Q144" s="35"/>
      <c r="R144" s="94">
        <f>IF(E144="",0,IFERROR(IF(INDEX('Player Board'!$H$4:$H$163,MATCH(E144,'Player Board'!$B$4:$B$163,0))&lt;=20,4.5,IF(INDEX('Player Board'!$H$4:$H$163,MATCH(E144,'Player Board'!$B$4:$B$163,0))&lt;=40,3.5,IF(INDEX('Player Board'!$H$4:$H$163,MATCH(E144,'Player Board'!$B$4:$B$163,0))&lt;=70,2.5,IF(INDEX('Player Board'!$H$4:$H$163,MATCH(E144,'Player Board'!$B$4:$B$163,0))&lt;=110,1.5,1)))),1))</f>
        <v>0</v>
      </c>
      <c r="S144" s="2"/>
      <c r="T144" s="2"/>
      <c r="U144" s="2"/>
      <c r="V144" s="2"/>
      <c r="W144" s="2"/>
      <c r="X144" s="2"/>
      <c r="Y144" s="2"/>
      <c r="Z144" s="2"/>
    </row>
    <row r="145" spans="1:26" ht="11" customHeight="1">
      <c r="A145" s="35">
        <v>142</v>
      </c>
      <c r="B145" s="35">
        <v>18</v>
      </c>
      <c r="C145" s="35">
        <v>6</v>
      </c>
      <c r="D145" s="35"/>
      <c r="E145" s="35"/>
      <c r="F145" s="35" t="str">
        <f>IFERROR(INDEX('Player Board'!$C$4:$C$163,MATCH(E145,'Player Board'!$B$4:$B$163,0)),"")</f>
        <v/>
      </c>
      <c r="G145" s="35" t="str">
        <f t="shared" si="4"/>
        <v>No</v>
      </c>
      <c r="H145" s="35" t="str">
        <f>IFERROR(INDEX('Player Board'!$H$4:$H$163,MATCH(E145,'Player Board'!$B$4:$B$163,0)),"")</f>
        <v/>
      </c>
      <c r="I145" s="35" t="str">
        <f>IF(E145="","",IFERROR(A145-INDEX('Player Board'!$Q$4:$Q$163,MATCH(E145,'Player Board'!$B$4:$B$163,0)),""))</f>
        <v/>
      </c>
      <c r="J145" s="35"/>
      <c r="K145" s="35" t="str">
        <f>IF(OR(D145&lt;&gt;"Noah",E145=""),"",F145&amp;"-"&amp;COUNTIFS($D$4:D145,"Noah",$F$4:F145,F145,$E$4:E145,"&lt;&gt;"))</f>
        <v/>
      </c>
      <c r="L145" s="35"/>
      <c r="M145" s="35"/>
      <c r="N145" s="35"/>
      <c r="O145" s="35"/>
      <c r="P145" s="35"/>
      <c r="Q145" s="35"/>
      <c r="R145" s="94">
        <f>IF(E145="",0,IFERROR(IF(INDEX('Player Board'!$H$4:$H$163,MATCH(E145,'Player Board'!$B$4:$B$163,0))&lt;=20,4.5,IF(INDEX('Player Board'!$H$4:$H$163,MATCH(E145,'Player Board'!$B$4:$B$163,0))&lt;=40,3.5,IF(INDEX('Player Board'!$H$4:$H$163,MATCH(E145,'Player Board'!$B$4:$B$163,0))&lt;=70,2.5,IF(INDEX('Player Board'!$H$4:$H$163,MATCH(E145,'Player Board'!$B$4:$B$163,0))&lt;=110,1.5,1)))),1))</f>
        <v>0</v>
      </c>
      <c r="S145" s="2"/>
      <c r="T145" s="2"/>
      <c r="U145" s="2"/>
      <c r="V145" s="2"/>
      <c r="W145" s="2"/>
      <c r="X145" s="2"/>
      <c r="Y145" s="2"/>
      <c r="Z145" s="2"/>
    </row>
    <row r="146" spans="1:26" ht="11" customHeight="1">
      <c r="A146" s="35">
        <v>143</v>
      </c>
      <c r="B146" s="35">
        <v>18</v>
      </c>
      <c r="C146" s="35">
        <v>7</v>
      </c>
      <c r="D146" s="35"/>
      <c r="E146" s="35"/>
      <c r="F146" s="35" t="str">
        <f>IFERROR(INDEX('Player Board'!$C$4:$C$163,MATCH(E146,'Player Board'!$B$4:$B$163,0)),"")</f>
        <v/>
      </c>
      <c r="G146" s="35" t="str">
        <f t="shared" si="4"/>
        <v>No</v>
      </c>
      <c r="H146" s="35" t="str">
        <f>IFERROR(INDEX('Player Board'!$H$4:$H$163,MATCH(E146,'Player Board'!$B$4:$B$163,0)),"")</f>
        <v/>
      </c>
      <c r="I146" s="35" t="str">
        <f>IF(E146="","",IFERROR(A146-INDEX('Player Board'!$Q$4:$Q$163,MATCH(E146,'Player Board'!$B$4:$B$163,0)),""))</f>
        <v/>
      </c>
      <c r="J146" s="35"/>
      <c r="K146" s="35" t="str">
        <f>IF(OR(D146&lt;&gt;"Noah",E146=""),"",F146&amp;"-"&amp;COUNTIFS($D$4:D146,"Noah",$F$4:F146,F146,$E$4:E146,"&lt;&gt;"))</f>
        <v/>
      </c>
      <c r="L146" s="35"/>
      <c r="M146" s="35"/>
      <c r="N146" s="35"/>
      <c r="O146" s="35"/>
      <c r="P146" s="35"/>
      <c r="Q146" s="35"/>
      <c r="R146" s="94">
        <f>IF(E146="",0,IFERROR(IF(INDEX('Player Board'!$H$4:$H$163,MATCH(E146,'Player Board'!$B$4:$B$163,0))&lt;=20,4.5,IF(INDEX('Player Board'!$H$4:$H$163,MATCH(E146,'Player Board'!$B$4:$B$163,0))&lt;=40,3.5,IF(INDEX('Player Board'!$H$4:$H$163,MATCH(E146,'Player Board'!$B$4:$B$163,0))&lt;=70,2.5,IF(INDEX('Player Board'!$H$4:$H$163,MATCH(E146,'Player Board'!$B$4:$B$163,0))&lt;=110,1.5,1)))),1))</f>
        <v>0</v>
      </c>
      <c r="S146" s="2"/>
      <c r="T146" s="2"/>
      <c r="U146" s="2"/>
      <c r="V146" s="2"/>
      <c r="W146" s="2"/>
      <c r="X146" s="2"/>
      <c r="Y146" s="2"/>
      <c r="Z146" s="2"/>
    </row>
    <row r="147" spans="1:26" ht="11" customHeight="1">
      <c r="A147" s="35">
        <v>144</v>
      </c>
      <c r="B147" s="35">
        <v>18</v>
      </c>
      <c r="C147" s="35">
        <v>8</v>
      </c>
      <c r="D147" s="35"/>
      <c r="E147" s="35"/>
      <c r="F147" s="35" t="str">
        <f>IFERROR(INDEX('Player Board'!$C$4:$C$163,MATCH(E147,'Player Board'!$B$4:$B$163,0)),"")</f>
        <v/>
      </c>
      <c r="G147" s="35" t="str">
        <f t="shared" si="4"/>
        <v>No</v>
      </c>
      <c r="H147" s="35" t="str">
        <f>IFERROR(INDEX('Player Board'!$H$4:$H$163,MATCH(E147,'Player Board'!$B$4:$B$163,0)),"")</f>
        <v/>
      </c>
      <c r="I147" s="35" t="str">
        <f>IF(E147="","",IFERROR(A147-INDEX('Player Board'!$Q$4:$Q$163,MATCH(E147,'Player Board'!$B$4:$B$163,0)),""))</f>
        <v/>
      </c>
      <c r="J147" s="35"/>
      <c r="K147" s="35" t="str">
        <f>IF(OR(D147&lt;&gt;"Noah",E147=""),"",F147&amp;"-"&amp;COUNTIFS($D$4:D147,"Noah",$F$4:F147,F147,$E$4:E147,"&lt;&gt;"))</f>
        <v/>
      </c>
      <c r="L147" s="35"/>
      <c r="M147" s="35"/>
      <c r="N147" s="35"/>
      <c r="O147" s="35"/>
      <c r="P147" s="35"/>
      <c r="Q147" s="35"/>
      <c r="R147" s="94">
        <f>IF(E147="",0,IFERROR(IF(INDEX('Player Board'!$H$4:$H$163,MATCH(E147,'Player Board'!$B$4:$B$163,0))&lt;=20,4.5,IF(INDEX('Player Board'!$H$4:$H$163,MATCH(E147,'Player Board'!$B$4:$B$163,0))&lt;=40,3.5,IF(INDEX('Player Board'!$H$4:$H$163,MATCH(E147,'Player Board'!$B$4:$B$163,0))&lt;=70,2.5,IF(INDEX('Player Board'!$H$4:$H$163,MATCH(E147,'Player Board'!$B$4:$B$163,0))&lt;=110,1.5,1)))),1))</f>
        <v>0</v>
      </c>
      <c r="S147" s="2"/>
      <c r="T147" s="2"/>
      <c r="U147" s="2"/>
      <c r="V147" s="2"/>
      <c r="W147" s="2"/>
      <c r="X147" s="2"/>
      <c r="Y147" s="2"/>
      <c r="Z147" s="2"/>
    </row>
    <row r="148" spans="1:26" ht="13.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</sheetData>
  <mergeCells count="2">
    <mergeCell ref="A1:L1"/>
    <mergeCell ref="N1:Q1"/>
  </mergeCells>
  <conditionalFormatting sqref="A4:J123">
    <cfRule type="expression" dxfId="266" priority="6">
      <formula>$G4="Yes"</formula>
    </cfRule>
  </conditionalFormatting>
  <conditionalFormatting sqref="A4:K147">
    <cfRule type="expression" dxfId="265" priority="46">
      <formula>$F4="QB"</formula>
    </cfRule>
    <cfRule type="expression" dxfId="264" priority="47">
      <formula>$F4="RB"</formula>
    </cfRule>
    <cfRule type="expression" dxfId="263" priority="48">
      <formula>$F4="WR"</formula>
    </cfRule>
    <cfRule type="expression" dxfId="262" priority="49">
      <formula>$F4="TE"</formula>
    </cfRule>
    <cfRule type="expression" dxfId="261" priority="50">
      <formula>$F4="K"</formula>
    </cfRule>
    <cfRule type="expression" dxfId="260" priority="51">
      <formula>$F4="DST"</formula>
    </cfRule>
  </conditionalFormatting>
  <conditionalFormatting sqref="A4:L123">
    <cfRule type="expression" dxfId="259" priority="3">
      <formula>$G4="Yes"</formula>
    </cfRule>
  </conditionalFormatting>
  <conditionalFormatting sqref="D4:D147">
    <cfRule type="expression" dxfId="258" priority="8">
      <formula>D4="Noah"</formula>
    </cfRule>
    <cfRule type="expression" dxfId="257" priority="9">
      <formula>D4="Colby"</formula>
    </cfRule>
    <cfRule type="expression" dxfId="256" priority="10">
      <formula>D4="Adam"</formula>
    </cfRule>
    <cfRule type="expression" dxfId="255" priority="11">
      <formula>D4="Jacob"</formula>
    </cfRule>
    <cfRule type="expression" dxfId="254" priority="12">
      <formula>D4="Medhansh"</formula>
    </cfRule>
    <cfRule type="expression" dxfId="253" priority="13">
      <formula>D4="Luke"</formula>
    </cfRule>
    <cfRule type="expression" dxfId="252" priority="14">
      <formula>D4="Spohn"</formula>
    </cfRule>
    <cfRule type="expression" dxfId="251" priority="15">
      <formula>D4="Nolen"</formula>
    </cfRule>
    <cfRule type="expression" dxfId="250" priority="24">
      <formula>D4="Noah"</formula>
    </cfRule>
    <cfRule type="expression" dxfId="249" priority="25">
      <formula>D4="Colby"</formula>
    </cfRule>
    <cfRule type="expression" dxfId="248" priority="26">
      <formula>D4="Adam"</formula>
    </cfRule>
    <cfRule type="expression" dxfId="247" priority="27">
      <formula>D4="Jacob"</formula>
    </cfRule>
    <cfRule type="expression" dxfId="246" priority="28">
      <formula>D4="Medhansh"</formula>
    </cfRule>
    <cfRule type="expression" dxfId="245" priority="29">
      <formula>D4="Luke"</formula>
    </cfRule>
    <cfRule type="expression" dxfId="244" priority="30">
      <formula>D4="Spohn"</formula>
    </cfRule>
    <cfRule type="expression" dxfId="243" priority="31">
      <formula>D4="Nolen"</formula>
    </cfRule>
    <cfRule type="expression" dxfId="242" priority="32">
      <formula>D4="Noah"</formula>
    </cfRule>
    <cfRule type="expression" dxfId="241" priority="33">
      <formula>D4="Colby"</formula>
    </cfRule>
    <cfRule type="expression" dxfId="240" priority="34">
      <formula>D4="Adam"</formula>
    </cfRule>
    <cfRule type="expression" dxfId="239" priority="35">
      <formula>D4="Jacob"</formula>
    </cfRule>
    <cfRule type="expression" dxfId="238" priority="36">
      <formula>D4="Medhansh"</formula>
    </cfRule>
    <cfRule type="expression" dxfId="237" priority="37">
      <formula>D4="Luke"</formula>
    </cfRule>
    <cfRule type="expression" dxfId="236" priority="38">
      <formula>D4="Spohn"</formula>
    </cfRule>
    <cfRule type="expression" dxfId="235" priority="39">
      <formula>D4="Nolen"</formula>
    </cfRule>
  </conditionalFormatting>
  <conditionalFormatting sqref="E4:E147">
    <cfRule type="expression" dxfId="234" priority="52">
      <formula>$F4="QB"</formula>
    </cfRule>
    <cfRule type="expression" dxfId="233" priority="53">
      <formula>$F4="RB"</formula>
    </cfRule>
    <cfRule type="expression" dxfId="232" priority="54">
      <formula>$F4="WR"</formula>
    </cfRule>
    <cfRule type="expression" dxfId="231" priority="55">
      <formula>$F4="TE"</formula>
    </cfRule>
    <cfRule type="expression" dxfId="230" priority="56">
      <formula>$F4="K"</formula>
    </cfRule>
    <cfRule type="expression" dxfId="229" priority="57">
      <formula>$F4="DST"</formula>
    </cfRule>
  </conditionalFormatting>
  <conditionalFormatting sqref="F4:F147">
    <cfRule type="expression" dxfId="228" priority="40">
      <formula>F4="QB"</formula>
    </cfRule>
    <cfRule type="expression" dxfId="227" priority="41">
      <formula>F4="RB"</formula>
    </cfRule>
    <cfRule type="expression" dxfId="226" priority="42">
      <formula>F4="WR"</formula>
    </cfRule>
    <cfRule type="expression" dxfId="225" priority="43">
      <formula>F4="TE"</formula>
    </cfRule>
    <cfRule type="expression" dxfId="224" priority="44">
      <formula>F4="K"</formula>
    </cfRule>
    <cfRule type="expression" dxfId="223" priority="45">
      <formula>F4="DST"</formula>
    </cfRule>
  </conditionalFormatting>
  <conditionalFormatting sqref="G4:G123">
    <cfRule type="expression" dxfId="222" priority="5">
      <formula>G4="Yes"</formula>
    </cfRule>
  </conditionalFormatting>
  <conditionalFormatting sqref="G4:G147">
    <cfRule type="expression" dxfId="221" priority="58">
      <formula>G4="Yes"</formula>
    </cfRule>
    <cfRule type="expression" dxfId="220" priority="59">
      <formula>G4="No"</formula>
    </cfRule>
  </conditionalFormatting>
  <conditionalFormatting sqref="I4:I123">
    <cfRule type="colorScale" priority="4">
      <colorScale>
        <cfvo type="min"/>
        <cfvo type="percentile" val="50"/>
        <cfvo type="max"/>
        <color rgb="FFFEE2E2"/>
        <color rgb="FFFEF3C7"/>
        <color rgb="FFDCFCE7"/>
      </colorScale>
    </cfRule>
  </conditionalFormatting>
  <conditionalFormatting sqref="O4:O20">
    <cfRule type="expression" dxfId="219" priority="16">
      <formula>O4="Noah"</formula>
    </cfRule>
    <cfRule type="expression" dxfId="218" priority="17">
      <formula>O4="Colby"</formula>
    </cfRule>
    <cfRule type="expression" dxfId="217" priority="18">
      <formula>O4="Adam"</formula>
    </cfRule>
    <cfRule type="expression" dxfId="216" priority="19">
      <formula>O4="Jacob"</formula>
    </cfRule>
    <cfRule type="expression" dxfId="215" priority="20">
      <formula>O4="Medhansh"</formula>
    </cfRule>
    <cfRule type="expression" dxfId="214" priority="21">
      <formula>O4="Luke"</formula>
    </cfRule>
    <cfRule type="expression" dxfId="213" priority="22">
      <formula>O4="Spohn"</formula>
    </cfRule>
    <cfRule type="expression" dxfId="212" priority="23">
      <formula>O4="Nolen"</formula>
    </cfRule>
  </conditionalFormatting>
  <conditionalFormatting sqref="Q25:Q29">
    <cfRule type="expression" dxfId="211" priority="7">
      <formula>Q25="Yes"</formula>
    </cfRule>
  </conditionalFormatting>
  <dataValidations count="2">
    <dataValidation type="list" sqref="D4:D147" xr:uid="{00000000-0002-0000-0200-000000000000}">
      <formula1>"Noah,Colby,Adam,Jacob,Medhansh,Luke,Spohn,Nolen"</formula1>
    </dataValidation>
    <dataValidation type="list" sqref="G4:G123" xr:uid="{00000000-0002-0000-0200-000001000000}">
      <formula1>"Yes,No"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200-000002000000}">
          <x14:formula1>
            <xm:f>'Available Players'!$B$5:$B$164</xm:f>
          </x14:formula1>
          <xm:sqref>E4:E147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4"/>
  <sheetViews>
    <sheetView workbookViewId="0">
      <selection sqref="A1:J1"/>
    </sheetView>
  </sheetViews>
  <sheetFormatPr defaultRowHeight="13.5"/>
  <cols>
    <col min="1" max="1" width="11" customWidth="1"/>
    <col min="2" max="2" width="24" customWidth="1"/>
    <col min="3" max="3" width="8" customWidth="1"/>
    <col min="4" max="5" width="10" customWidth="1"/>
    <col min="6" max="6" width="8" customWidth="1"/>
    <col min="7" max="7" width="10" customWidth="1"/>
    <col min="8" max="8" width="14" customWidth="1"/>
    <col min="9" max="9" width="12" customWidth="1"/>
    <col min="10" max="10" width="34" customWidth="1"/>
    <col min="11" max="11" width="18" customWidth="1"/>
    <col min="12" max="12" width="14" customWidth="1"/>
  </cols>
  <sheetData>
    <row r="1" spans="1:12" ht="17" customHeight="1">
      <c r="A1" s="115" t="s">
        <v>366</v>
      </c>
      <c r="B1" s="115"/>
      <c r="C1" s="115"/>
      <c r="D1" s="115"/>
      <c r="E1" s="115"/>
      <c r="F1" s="115"/>
      <c r="G1" s="116"/>
      <c r="H1" s="115"/>
      <c r="I1" s="115"/>
      <c r="J1" s="115"/>
    </row>
    <row r="2" spans="1:12" ht="16.05" customHeight="1">
      <c r="A2" s="117" t="s">
        <v>367</v>
      </c>
      <c r="B2" s="117"/>
      <c r="C2" s="117"/>
      <c r="D2" s="117"/>
      <c r="E2" s="117"/>
      <c r="F2" s="117"/>
      <c r="G2" s="117"/>
      <c r="H2" s="117"/>
      <c r="I2" s="117"/>
      <c r="J2" s="117"/>
    </row>
    <row r="4" spans="1:12" ht="27.75">
      <c r="A4" s="17" t="s">
        <v>368</v>
      </c>
      <c r="B4" s="17" t="s">
        <v>121</v>
      </c>
      <c r="C4" s="17" t="s">
        <v>122</v>
      </c>
      <c r="D4" s="17" t="s">
        <v>123</v>
      </c>
      <c r="E4" s="17" t="s">
        <v>341</v>
      </c>
      <c r="F4" s="17" t="s">
        <v>125</v>
      </c>
      <c r="G4" s="17" t="s">
        <v>135</v>
      </c>
      <c r="H4" s="17" t="s">
        <v>132</v>
      </c>
      <c r="I4" s="17" t="s">
        <v>369</v>
      </c>
      <c r="J4" s="17" t="s">
        <v>133</v>
      </c>
      <c r="K4" s="51" t="s">
        <v>370</v>
      </c>
      <c r="L4" s="51" t="s">
        <v>371</v>
      </c>
    </row>
    <row r="5" spans="1:12" ht="40.5">
      <c r="A5">
        <f>IFERROR(SMALL('Player Board'!$O$4:$O$163,1),"")</f>
        <v>24</v>
      </c>
      <c r="B5" t="str">
        <f>IF(OR(A5="",A5=9999),"",INDEX('Player Board'!$B$4:$B$163,MATCH(A5,'Player Board'!$H$4:$H$163,0)))</f>
        <v>Jeremiyah Love</v>
      </c>
      <c r="C5" t="str">
        <f>IF(B5="","",INDEX('Player Board'!$C$4:$C$163,MATCH(B5,'Player Board'!$B$4:$B$163,0)))</f>
        <v>RB</v>
      </c>
      <c r="D5">
        <f>IF(B5="","",INDEX('Player Board'!$D$4:$D$163,MATCH(B5,'Player Board'!$B$4:$B$163,0)))</f>
        <v>5</v>
      </c>
      <c r="E5">
        <f>IF(B5="","",INDEX('Player Board'!$H$4:$H$163,MATCH(B5,'Player Board'!$B$4:$B$163,0)))</f>
        <v>24</v>
      </c>
      <c r="F5">
        <f>IF(B5="","",INDEX('Player Board'!$F$4:$F$163,MATCH(B5,'Player Board'!$B$4:$B$163,0)))</f>
        <v>3</v>
      </c>
      <c r="G5" t="str">
        <f>IF(B5="","",INDEX('Player Board'!$P$4:$P$163,MATCH(B5,'Player Board'!$B$4:$B$163,0)))</f>
        <v>Yes</v>
      </c>
      <c r="H5" t="str">
        <f>IF(B5="","",INDEX('Player Board'!$M$4:$M$163,MATCH(B5,'Player Board'!$B$4:$B$163,0)))</f>
        <v>Strong</v>
      </c>
      <c r="I5">
        <f>IF(B5="","",INDEX('Player Board'!$G$4:$G$163,MATCH(B5,'Player Board'!$B$4:$B$163,0)))</f>
        <v>15</v>
      </c>
      <c r="J5" s="1" t="str">
        <f>IF(B5="","",INDEX('Player Board'!$N$4:$N$163,MATCH(B5,'Player Board'!$B$4:$B$163,0)))</f>
        <v>Near KTC after adjusting for six keepers, taxi value, role security, and eight-team replacement depth.</v>
      </c>
      <c r="K5">
        <f>IF(B5="","",IFERROR(INDEX('Player Board'!$Q$4:$Q$163,MATCH(B5,'Player Board'!$B$4:$B$163,0)),""))</f>
        <v>1</v>
      </c>
      <c r="L5">
        <f t="shared" ref="L5:L36" si="0">IF(OR(E5="",K5=""),"",K5-E5)</f>
        <v>-23</v>
      </c>
    </row>
    <row r="6" spans="1:12" ht="40.5">
      <c r="A6">
        <f>IFERROR(SMALL('Player Board'!$O$4:$O$163,2),"")</f>
        <v>31</v>
      </c>
      <c r="B6" t="str">
        <f>IF(OR(A6="",A6=9999),"",INDEX('Player Board'!$B$4:$B$163,MATCH(A6,'Player Board'!$H$4:$H$163,0)))</f>
        <v>Carnell Tate</v>
      </c>
      <c r="C6" t="str">
        <f>IF(B6="","",INDEX('Player Board'!$C$4:$C$163,MATCH(B6,'Player Board'!$B$4:$B$163,0)))</f>
        <v>WR</v>
      </c>
      <c r="D6">
        <f>IF(B6="","",INDEX('Player Board'!$D$4:$D$163,MATCH(B6,'Player Board'!$B$4:$B$163,0)))</f>
        <v>12</v>
      </c>
      <c r="E6">
        <f>IF(B6="","",INDEX('Player Board'!$H$4:$H$163,MATCH(B6,'Player Board'!$B$4:$B$163,0)))</f>
        <v>31</v>
      </c>
      <c r="F6">
        <f>IF(B6="","",INDEX('Player Board'!$F$4:$F$163,MATCH(B6,'Player Board'!$B$4:$B$163,0)))</f>
        <v>4</v>
      </c>
      <c r="G6" t="str">
        <f>IF(B6="","",INDEX('Player Board'!$P$4:$P$163,MATCH(B6,'Player Board'!$B$4:$B$163,0)))</f>
        <v>Yes</v>
      </c>
      <c r="H6" t="str">
        <f>IF(B6="","",INDEX('Player Board'!$M$4:$M$163,MATCH(B6,'Player Board'!$B$4:$B$163,0)))</f>
        <v>Strong</v>
      </c>
      <c r="I6">
        <f>IF(B6="","",INDEX('Player Board'!$G$4:$G$163,MATCH(B6,'Player Board'!$B$4:$B$163,0)))</f>
        <v>35</v>
      </c>
      <c r="J6" s="1" t="str">
        <f>IF(B6="","",INDEX('Player Board'!$N$4:$N$163,MATCH(B6,'Player Board'!$B$4:$B$163,0)))</f>
        <v>Near KTC after adjusting for six keepers, taxi value, role security, and eight-team replacement depth.</v>
      </c>
      <c r="K6">
        <f>IF(B6="","",IFERROR(INDEX('Player Board'!$Q$4:$Q$163,MATCH(B6,'Player Board'!$B$4:$B$163,0)),""))</f>
        <v>2</v>
      </c>
      <c r="L6">
        <f t="shared" si="0"/>
        <v>-29</v>
      </c>
    </row>
    <row r="7" spans="1:12" ht="40.5">
      <c r="A7">
        <f>IFERROR(SMALL('Player Board'!$O$4:$O$163,3),"")</f>
        <v>51</v>
      </c>
      <c r="B7" t="str">
        <f>IF(OR(A7="",A7=9999),"",INDEX('Player Board'!$B$4:$B$163,MATCH(A7,'Player Board'!$H$4:$H$163,0)))</f>
        <v>Jordyn Tyson</v>
      </c>
      <c r="C7" t="str">
        <f>IF(B7="","",INDEX('Player Board'!$C$4:$C$163,MATCH(B7,'Player Board'!$B$4:$B$163,0)))</f>
        <v>WR</v>
      </c>
      <c r="D7">
        <f>IF(B7="","",INDEX('Player Board'!$D$4:$D$163,MATCH(B7,'Player Board'!$B$4:$B$163,0)))</f>
        <v>21</v>
      </c>
      <c r="E7">
        <f>IF(B7="","",INDEX('Player Board'!$H$4:$H$163,MATCH(B7,'Player Board'!$B$4:$B$163,0)))</f>
        <v>51</v>
      </c>
      <c r="F7">
        <f>IF(B7="","",INDEX('Player Board'!$F$4:$F$163,MATCH(B7,'Player Board'!$B$4:$B$163,0)))</f>
        <v>5</v>
      </c>
      <c r="G7" t="str">
        <f>IF(B7="","",INDEX('Player Board'!$P$4:$P$163,MATCH(B7,'Player Board'!$B$4:$B$163,0)))</f>
        <v>Yes</v>
      </c>
      <c r="H7" t="str">
        <f>IF(B7="","",INDEX('Player Board'!$M$4:$M$163,MATCH(B7,'Player Board'!$B$4:$B$163,0)))</f>
        <v>Value</v>
      </c>
      <c r="I7">
        <f>IF(B7="","",INDEX('Player Board'!$G$4:$G$163,MATCH(B7,'Player Board'!$B$4:$B$163,0)))</f>
        <v>52</v>
      </c>
      <c r="J7" s="1" t="str">
        <f>IF(B7="","",INDEX('Player Board'!$N$4:$N$163,MATCH(B7,'Player Board'!$B$4:$B$163,0)))</f>
        <v>Near KTC after adjusting for six keepers, taxi value, role security, and eight-team replacement depth.</v>
      </c>
      <c r="K7">
        <f>IF(B7="","",IFERROR(INDEX('Player Board'!$Q$4:$Q$163,MATCH(B7,'Player Board'!$B$4:$B$163,0)),""))</f>
        <v>3</v>
      </c>
      <c r="L7">
        <f t="shared" si="0"/>
        <v>-48</v>
      </c>
    </row>
    <row r="8" spans="1:12" ht="40.5">
      <c r="A8">
        <f>IFERROR(SMALL('Player Board'!$O$4:$O$163,4),"")</f>
        <v>52</v>
      </c>
      <c r="B8" t="str">
        <f>IF(OR(A8="",A8=9999),"",INDEX('Player Board'!$B$4:$B$163,MATCH(A8,'Player Board'!$H$4:$H$163,0)))</f>
        <v>Makai Lemon</v>
      </c>
      <c r="C8" t="str">
        <f>IF(B8="","",INDEX('Player Board'!$C$4:$C$163,MATCH(B8,'Player Board'!$B$4:$B$163,0)))</f>
        <v>WR</v>
      </c>
      <c r="D8">
        <f>IF(B8="","",INDEX('Player Board'!$D$4:$D$163,MATCH(B8,'Player Board'!$B$4:$B$163,0)))</f>
        <v>22</v>
      </c>
      <c r="E8">
        <f>IF(B8="","",INDEX('Player Board'!$H$4:$H$163,MATCH(B8,'Player Board'!$B$4:$B$163,0)))</f>
        <v>52</v>
      </c>
      <c r="F8">
        <f>IF(B8="","",INDEX('Player Board'!$F$4:$F$163,MATCH(B8,'Player Board'!$B$4:$B$163,0)))</f>
        <v>5</v>
      </c>
      <c r="G8" t="str">
        <f>IF(B8="","",INDEX('Player Board'!$P$4:$P$163,MATCH(B8,'Player Board'!$B$4:$B$163,0)))</f>
        <v>Yes</v>
      </c>
      <c r="H8" t="str">
        <f>IF(B8="","",INDEX('Player Board'!$M$4:$M$163,MATCH(B8,'Player Board'!$B$4:$B$163,0)))</f>
        <v>Value</v>
      </c>
      <c r="I8">
        <f>IF(B8="","",INDEX('Player Board'!$G$4:$G$163,MATCH(B8,'Player Board'!$B$4:$B$163,0)))</f>
        <v>62</v>
      </c>
      <c r="J8" s="1" t="str">
        <f>IF(B8="","",INDEX('Player Board'!$N$4:$N$163,MATCH(B8,'Player Board'!$B$4:$B$163,0)))</f>
        <v>Higher than KTC because immediate WAR, keeper utility, or current role matters more in this format.</v>
      </c>
      <c r="K8">
        <f>IF(B8="","",IFERROR(INDEX('Player Board'!$Q$4:$Q$163,MATCH(B8,'Player Board'!$B$4:$B$163,0)),""))</f>
        <v>4</v>
      </c>
      <c r="L8">
        <f t="shared" si="0"/>
        <v>-48</v>
      </c>
    </row>
    <row r="9" spans="1:12" ht="40.5">
      <c r="A9">
        <f>IFERROR(SMALL('Player Board'!$O$4:$O$163,5),"")</f>
        <v>53</v>
      </c>
      <c r="B9" t="str">
        <f>IF(OR(A9="",A9=9999),"",INDEX('Player Board'!$B$4:$B$163,MATCH(A9,'Player Board'!$H$4:$H$163,0)))</f>
        <v>Fernando Mendoza</v>
      </c>
      <c r="C9" t="str">
        <f>IF(B9="","",INDEX('Player Board'!$C$4:$C$163,MATCH(B9,'Player Board'!$B$4:$B$163,0)))</f>
        <v>QB</v>
      </c>
      <c r="D9">
        <f>IF(B9="","",INDEX('Player Board'!$D$4:$D$163,MATCH(B9,'Player Board'!$B$4:$B$163,0)))</f>
        <v>13</v>
      </c>
      <c r="E9">
        <f>IF(B9="","",INDEX('Player Board'!$H$4:$H$163,MATCH(B9,'Player Board'!$B$4:$B$163,0)))</f>
        <v>53</v>
      </c>
      <c r="F9">
        <f>IF(B9="","",INDEX('Player Board'!$F$4:$F$163,MATCH(B9,'Player Board'!$B$4:$B$163,0)))</f>
        <v>5</v>
      </c>
      <c r="G9" t="str">
        <f>IF(B9="","",INDEX('Player Board'!$P$4:$P$163,MATCH(B9,'Player Board'!$B$4:$B$163,0)))</f>
        <v>Yes</v>
      </c>
      <c r="H9" t="str">
        <f>IF(B9="","",INDEX('Player Board'!$M$4:$M$163,MATCH(B9,'Player Board'!$B$4:$B$163,0)))</f>
        <v>Value</v>
      </c>
      <c r="I9">
        <f>IF(B9="","",INDEX('Player Board'!$G$4:$G$163,MATCH(B9,'Player Board'!$B$4:$B$163,0)))</f>
        <v>50</v>
      </c>
      <c r="J9" s="1" t="str">
        <f>IF(B9="","",INDEX('Player Board'!$N$4:$N$163,MATCH(B9,'Player Board'!$B$4:$B$163,0)))</f>
        <v>Eight-team quarterback depth compresses non-elite QB value versus standard 12-team superflex.</v>
      </c>
      <c r="K9">
        <f>IF(B9="","",IFERROR(INDEX('Player Board'!$Q$4:$Q$163,MATCH(B9,'Player Board'!$B$4:$B$163,0)),""))</f>
        <v>5</v>
      </c>
      <c r="L9">
        <f t="shared" si="0"/>
        <v>-48</v>
      </c>
    </row>
    <row r="10" spans="1:12" ht="40.5">
      <c r="A10">
        <f>IFERROR(SMALL('Player Board'!$O$4:$O$163,6),"")</f>
        <v>54</v>
      </c>
      <c r="B10" t="str">
        <f>IF(OR(A10="",A10=9999),"",INDEX('Player Board'!$B$4:$B$163,MATCH(A10,'Player Board'!$H$4:$H$163,0)))</f>
        <v>Brock Purdy</v>
      </c>
      <c r="C10" t="str">
        <f>IF(B10="","",INDEX('Player Board'!$C$4:$C$163,MATCH(B10,'Player Board'!$B$4:$B$163,0)))</f>
        <v>QB</v>
      </c>
      <c r="D10">
        <f>IF(B10="","",INDEX('Player Board'!$D$4:$D$163,MATCH(B10,'Player Board'!$B$4:$B$163,0)))</f>
        <v>14</v>
      </c>
      <c r="E10">
        <f>IF(B10="","",INDEX('Player Board'!$H$4:$H$163,MATCH(B10,'Player Board'!$B$4:$B$163,0)))</f>
        <v>54</v>
      </c>
      <c r="F10">
        <f>IF(B10="","",INDEX('Player Board'!$F$4:$F$163,MATCH(B10,'Player Board'!$B$4:$B$163,0)))</f>
        <v>5</v>
      </c>
      <c r="G10" t="str">
        <f>IF(B10="","",INDEX('Player Board'!$P$4:$P$163,MATCH(B10,'Player Board'!$B$4:$B$163,0)))</f>
        <v>No</v>
      </c>
      <c r="H10" t="str">
        <f>IF(B10="","",INDEX('Player Board'!$M$4:$M$163,MATCH(B10,'Player Board'!$B$4:$B$163,0)))</f>
        <v>Value</v>
      </c>
      <c r="I10">
        <f>IF(B10="","",INDEX('Player Board'!$G$4:$G$163,MATCH(B10,'Player Board'!$B$4:$B$163,0)))</f>
        <v>38</v>
      </c>
      <c r="J10" s="1" t="str">
        <f>IF(B10="","",INDEX('Player Board'!$N$4:$N$163,MATCH(B10,'Player Board'!$B$4:$B$163,0)))</f>
        <v>Eight-team quarterback depth compresses non-elite QB value versus standard 12-team superflex.</v>
      </c>
      <c r="K10">
        <f>IF(B10="","",IFERROR(INDEX('Player Board'!$Q$4:$Q$163,MATCH(B10,'Player Board'!$B$4:$B$163,0)),""))</f>
        <v>6</v>
      </c>
      <c r="L10">
        <f t="shared" si="0"/>
        <v>-48</v>
      </c>
    </row>
    <row r="11" spans="1:12" ht="40.5">
      <c r="A11">
        <f>IFERROR(SMALL('Player Board'!$O$4:$O$163,7),"")</f>
        <v>55</v>
      </c>
      <c r="B11" t="str">
        <f>IF(OR(A11="",A11=9999),"",INDEX('Player Board'!$B$4:$B$163,MATCH(A11,'Player Board'!$H$4:$H$163,0)))</f>
        <v>Tee Higgins</v>
      </c>
      <c r="C11" t="str">
        <f>IF(B11="","",INDEX('Player Board'!$C$4:$C$163,MATCH(B11,'Player Board'!$B$4:$B$163,0)))</f>
        <v>WR</v>
      </c>
      <c r="D11">
        <f>IF(B11="","",INDEX('Player Board'!$D$4:$D$163,MATCH(B11,'Player Board'!$B$4:$B$163,0)))</f>
        <v>23</v>
      </c>
      <c r="E11">
        <f>IF(B11="","",INDEX('Player Board'!$H$4:$H$163,MATCH(B11,'Player Board'!$B$4:$B$163,0)))</f>
        <v>55</v>
      </c>
      <c r="F11">
        <f>IF(B11="","",INDEX('Player Board'!$F$4:$F$163,MATCH(B11,'Player Board'!$B$4:$B$163,0)))</f>
        <v>5</v>
      </c>
      <c r="G11" t="str">
        <f>IF(B11="","",INDEX('Player Board'!$P$4:$P$163,MATCH(B11,'Player Board'!$B$4:$B$163,0)))</f>
        <v>No</v>
      </c>
      <c r="H11" t="str">
        <f>IF(B11="","",INDEX('Player Board'!$M$4:$M$163,MATCH(B11,'Player Board'!$B$4:$B$163,0)))</f>
        <v>Value</v>
      </c>
      <c r="I11">
        <f>IF(B11="","",INDEX('Player Board'!$G$4:$G$163,MATCH(B11,'Player Board'!$B$4:$B$163,0)))</f>
        <v>65</v>
      </c>
      <c r="J11" s="1" t="str">
        <f>IF(B11="","",INDEX('Player Board'!$N$4:$N$163,MATCH(B11,'Player Board'!$B$4:$B$163,0)))</f>
        <v>Prime-age, proven production and weekly usability outweigh the lack of a true overall WR1 ceiling.</v>
      </c>
      <c r="K11">
        <f>IF(B11="","",IFERROR(INDEX('Player Board'!$Q$4:$Q$163,MATCH(B11,'Player Board'!$B$4:$B$163,0)),""))</f>
        <v>7</v>
      </c>
      <c r="L11">
        <f t="shared" si="0"/>
        <v>-48</v>
      </c>
    </row>
    <row r="12" spans="1:12" ht="54">
      <c r="A12">
        <f>IFERROR(SMALL('Player Board'!$O$4:$O$163,8),"")</f>
        <v>58</v>
      </c>
      <c r="B12" t="str">
        <f>IF(OR(A12="",A12=9999),"",INDEX('Player Board'!$B$4:$B$163,MATCH(A12,'Player Board'!$H$4:$H$163,0)))</f>
        <v>Brian Thomas Jr.</v>
      </c>
      <c r="C12" t="str">
        <f>IF(B12="","",INDEX('Player Board'!$C$4:$C$163,MATCH(B12,'Player Board'!$B$4:$B$163,0)))</f>
        <v>WR</v>
      </c>
      <c r="D12">
        <f>IF(B12="","",INDEX('Player Board'!$D$4:$D$163,MATCH(B12,'Player Board'!$B$4:$B$163,0)))</f>
        <v>24</v>
      </c>
      <c r="E12">
        <f>IF(B12="","",INDEX('Player Board'!$H$4:$H$163,MATCH(B12,'Player Board'!$B$4:$B$163,0)))</f>
        <v>58</v>
      </c>
      <c r="F12">
        <f>IF(B12="","",INDEX('Player Board'!$F$4:$F$163,MATCH(B12,'Player Board'!$B$4:$B$163,0)))</f>
        <v>5</v>
      </c>
      <c r="G12" t="str">
        <f>IF(B12="","",INDEX('Player Board'!$P$4:$P$163,MATCH(B12,'Player Board'!$B$4:$B$163,0)))</f>
        <v>No</v>
      </c>
      <c r="H12" t="str">
        <f>IF(B12="","",INDEX('Player Board'!$M$4:$M$163,MATCH(B12,'Player Board'!$B$4:$B$163,0)))</f>
        <v>Value</v>
      </c>
      <c r="I12">
        <f>IF(B12="","",INDEX('Player Board'!$G$4:$G$163,MATCH(B12,'Player Board'!$B$4:$B$163,0)))</f>
        <v>73</v>
      </c>
      <c r="J12" s="1" t="str">
        <f>IF(B12="","",INDEX('Player Board'!$N$4:$N$163,MATCH(B12,'Player Board'!$B$4:$B$163,0)))</f>
        <v>Already displayed a ceiling many prospects have not; shallow-league replacement depth still limits the premium.</v>
      </c>
      <c r="K12">
        <f>IF(B12="","",IFERROR(INDEX('Player Board'!$Q$4:$Q$163,MATCH(B12,'Player Board'!$B$4:$B$163,0)),""))</f>
        <v>8</v>
      </c>
      <c r="L12">
        <f t="shared" si="0"/>
        <v>-50</v>
      </c>
    </row>
    <row r="13" spans="1:12" ht="40.5">
      <c r="A13">
        <f>IFERROR(SMALL('Player Board'!$O$4:$O$163,9),"")</f>
        <v>59</v>
      </c>
      <c r="B13" t="str">
        <f>IF(OR(A13="",A13=9999),"",INDEX('Player Board'!$B$4:$B$163,MATCH(A13,'Player Board'!$H$4:$H$163,0)))</f>
        <v>Rome Odunze</v>
      </c>
      <c r="C13" t="str">
        <f>IF(B13="","",INDEX('Player Board'!$C$4:$C$163,MATCH(B13,'Player Board'!$B$4:$B$163,0)))</f>
        <v>WR</v>
      </c>
      <c r="D13">
        <f>IF(B13="","",INDEX('Player Board'!$D$4:$D$163,MATCH(B13,'Player Board'!$B$4:$B$163,0)))</f>
        <v>25</v>
      </c>
      <c r="E13">
        <f>IF(B13="","",INDEX('Player Board'!$H$4:$H$163,MATCH(B13,'Player Board'!$B$4:$B$163,0)))</f>
        <v>59</v>
      </c>
      <c r="F13">
        <f>IF(B13="","",INDEX('Player Board'!$F$4:$F$163,MATCH(B13,'Player Board'!$B$4:$B$163,0)))</f>
        <v>5</v>
      </c>
      <c r="G13" t="str">
        <f>IF(B13="","",INDEX('Player Board'!$P$4:$P$163,MATCH(B13,'Player Board'!$B$4:$B$163,0)))</f>
        <v>No</v>
      </c>
      <c r="H13" t="str">
        <f>IF(B13="","",INDEX('Player Board'!$M$4:$M$163,MATCH(B13,'Player Board'!$B$4:$B$163,0)))</f>
        <v>Value</v>
      </c>
      <c r="I13">
        <f>IF(B13="","",INDEX('Player Board'!$G$4:$G$163,MATCH(B13,'Player Board'!$B$4:$B$163,0)))</f>
        <v>55</v>
      </c>
      <c r="J13" s="1" t="str">
        <f>IF(B13="","",INDEX('Player Board'!$N$4:$N$163,MATCH(B13,'Player Board'!$B$4:$B$163,0)))</f>
        <v>Draft capital and upside deserve patience, but he still needs consistent target dominance in a six-keeper league.</v>
      </c>
      <c r="K13">
        <f>IF(B13="","",IFERROR(INDEX('Player Board'!$Q$4:$Q$163,MATCH(B13,'Player Board'!$B$4:$B$163,0)),""))</f>
        <v>9</v>
      </c>
      <c r="L13">
        <f t="shared" si="0"/>
        <v>-50</v>
      </c>
    </row>
    <row r="14" spans="1:12" ht="54">
      <c r="A14">
        <f>IFERROR(SMALL('Player Board'!$O$4:$O$163,10),"")</f>
        <v>60</v>
      </c>
      <c r="B14" t="str">
        <f>IF(OR(A14="",A14=9999),"",INDEX('Player Board'!$B$4:$B$163,MATCH(A14,'Player Board'!$H$4:$H$163,0)))</f>
        <v>Josh Jacobs</v>
      </c>
      <c r="C14" t="str">
        <f>IF(B14="","",INDEX('Player Board'!$C$4:$C$163,MATCH(B14,'Player Board'!$B$4:$B$163,0)))</f>
        <v>RB</v>
      </c>
      <c r="D14">
        <f>IF(B14="","",INDEX('Player Board'!$D$4:$D$163,MATCH(B14,'Player Board'!$B$4:$B$163,0)))</f>
        <v>16</v>
      </c>
      <c r="E14">
        <f>IF(B14="","",INDEX('Player Board'!$H$4:$H$163,MATCH(B14,'Player Board'!$B$4:$B$163,0)))</f>
        <v>60</v>
      </c>
      <c r="F14">
        <f>IF(B14="","",INDEX('Player Board'!$F$4:$F$163,MATCH(B14,'Player Board'!$B$4:$B$163,0)))</f>
        <v>5</v>
      </c>
      <c r="G14" t="str">
        <f>IF(B14="","",INDEX('Player Board'!$P$4:$P$163,MATCH(B14,'Player Board'!$B$4:$B$163,0)))</f>
        <v>No</v>
      </c>
      <c r="H14" t="str">
        <f>IF(B14="","",INDEX('Player Board'!$M$4:$M$163,MATCH(B14,'Player Board'!$B$4:$B$163,0)))</f>
        <v>Value</v>
      </c>
      <c r="I14">
        <f>IF(B14="","",INDEX('Player Board'!$G$4:$G$163,MATCH(B14,'Player Board'!$B$4:$B$163,0)))</f>
        <v>91</v>
      </c>
      <c r="J14" s="1" t="str">
        <f>IF(B14="","",INDEX('Player Board'!$N$4:$N$163,MATCH(B14,'Player Board'!$B$4:$B$163,0)))</f>
        <v>Age lowers long-term value, but immediate volume and championship utility matter far more than in a dynasty startup.</v>
      </c>
      <c r="K14">
        <f>IF(B14="","",IFERROR(INDEX('Player Board'!$Q$4:$Q$163,MATCH(B14,'Player Board'!$B$4:$B$163,0)),""))</f>
        <v>10</v>
      </c>
      <c r="L14">
        <f t="shared" si="0"/>
        <v>-50</v>
      </c>
    </row>
    <row r="15" spans="1:12" ht="40.5">
      <c r="A15">
        <f>IFERROR(SMALL('Player Board'!$O$4:$O$163,11),"")</f>
        <v>64</v>
      </c>
      <c r="B15" t="str">
        <f>IF(OR(A15="",A15=9999),"",INDEX('Player Board'!$B$4:$B$163,MATCH(A15,'Player Board'!$H$4:$H$163,0)))</f>
        <v>George Kittle</v>
      </c>
      <c r="C15" t="str">
        <f>IF(B15="","",INDEX('Player Board'!$C$4:$C$163,MATCH(B15,'Player Board'!$B$4:$B$163,0)))</f>
        <v>TE</v>
      </c>
      <c r="D15">
        <f>IF(B15="","",INDEX('Player Board'!$D$4:$D$163,MATCH(B15,'Player Board'!$B$4:$B$163,0)))</f>
        <v>5</v>
      </c>
      <c r="E15">
        <f>IF(B15="","",INDEX('Player Board'!$H$4:$H$163,MATCH(B15,'Player Board'!$B$4:$B$163,0)))</f>
        <v>64</v>
      </c>
      <c r="F15">
        <f>IF(B15="","",INDEX('Player Board'!$F$4:$F$163,MATCH(B15,'Player Board'!$B$4:$B$163,0)))</f>
        <v>6</v>
      </c>
      <c r="G15" t="str">
        <f>IF(B15="","",INDEX('Player Board'!$P$4:$P$163,MATCH(B15,'Player Board'!$B$4:$B$163,0)))</f>
        <v>No</v>
      </c>
      <c r="H15" t="str">
        <f>IF(B15="","",INDEX('Player Board'!$M$4:$M$163,MATCH(B15,'Player Board'!$B$4:$B$163,0)))</f>
        <v>Value</v>
      </c>
      <c r="I15">
        <f>IF(B15="","",INDEX('Player Board'!$G$4:$G$163,MATCH(B15,'Player Board'!$B$4:$B$163,0)))</f>
        <v>117</v>
      </c>
      <c r="J15" s="1" t="str">
        <f>IF(B15="","",INDEX('Player Board'!$N$4:$N$163,MATCH(B15,'Player Board'!$B$4:$B$163,0)))</f>
        <v>Age limits keeper runway, but healthy weekly positional advantage makes him a strong annual-draft asset.</v>
      </c>
      <c r="K15">
        <f>IF(B15="","",IFERROR(INDEX('Player Board'!$Q$4:$Q$163,MATCH(B15,'Player Board'!$B$4:$B$163,0)),""))</f>
        <v>11</v>
      </c>
      <c r="L15">
        <f t="shared" si="0"/>
        <v>-53</v>
      </c>
    </row>
    <row r="16" spans="1:12" ht="40.5">
      <c r="A16">
        <f>IFERROR(SMALL('Player Board'!$O$4:$O$163,12),"")</f>
        <v>68</v>
      </c>
      <c r="B16" t="str">
        <f>IF(OR(A16="",A16=9999),"",INDEX('Player Board'!$B$4:$B$163,MATCH(A16,'Player Board'!$H$4:$H$163,0)))</f>
        <v>Sam LaPorta</v>
      </c>
      <c r="C16" t="str">
        <f>IF(B16="","",INDEX('Player Board'!$C$4:$C$163,MATCH(B16,'Player Board'!$B$4:$B$163,0)))</f>
        <v>TE</v>
      </c>
      <c r="D16">
        <f>IF(B16="","",INDEX('Player Board'!$D$4:$D$163,MATCH(B16,'Player Board'!$B$4:$B$163,0)))</f>
        <v>6</v>
      </c>
      <c r="E16">
        <f>IF(B16="","",INDEX('Player Board'!$H$4:$H$163,MATCH(B16,'Player Board'!$B$4:$B$163,0)))</f>
        <v>68</v>
      </c>
      <c r="F16">
        <f>IF(B16="","",INDEX('Player Board'!$F$4:$F$163,MATCH(B16,'Player Board'!$B$4:$B$163,0)))</f>
        <v>6</v>
      </c>
      <c r="G16" t="str">
        <f>IF(B16="","",INDEX('Player Board'!$P$4:$P$163,MATCH(B16,'Player Board'!$B$4:$B$163,0)))</f>
        <v>No</v>
      </c>
      <c r="H16" t="str">
        <f>IF(B16="","",INDEX('Player Board'!$M$4:$M$163,MATCH(B16,'Player Board'!$B$4:$B$163,0)))</f>
        <v>Value</v>
      </c>
      <c r="I16">
        <f>IF(B16="","",INDEX('Player Board'!$G$4:$G$163,MATCH(B16,'Player Board'!$B$4:$B$163,0)))</f>
        <v>83</v>
      </c>
      <c r="J16" s="1" t="str">
        <f>IF(B16="","",INDEX('Player Board'!$N$4:$N$163,MATCH(B16,'Player Board'!$B$4:$B$163,0)))</f>
        <v>Still young with rebound potential, but he belongs below the established elite TE separators.</v>
      </c>
      <c r="K16">
        <f>IF(B16="","",IFERROR(INDEX('Player Board'!$Q$4:$Q$163,MATCH(B16,'Player Board'!$B$4:$B$163,0)),""))</f>
        <v>12</v>
      </c>
      <c r="L16">
        <f t="shared" si="0"/>
        <v>-56</v>
      </c>
    </row>
    <row r="17" spans="1:12" ht="40.5">
      <c r="A17">
        <f>IFERROR(SMALL('Player Board'!$O$4:$O$163,13),"")</f>
        <v>69</v>
      </c>
      <c r="B17" t="str">
        <f>IF(OR(A17="",A17=9999),"",INDEX('Player Board'!$B$4:$B$163,MATCH(A17,'Player Board'!$H$4:$H$163,0)))</f>
        <v>Tucker Kraft</v>
      </c>
      <c r="C17" t="str">
        <f>IF(B17="","",INDEX('Player Board'!$C$4:$C$163,MATCH(B17,'Player Board'!$B$4:$B$163,0)))</f>
        <v>TE</v>
      </c>
      <c r="D17">
        <f>IF(B17="","",INDEX('Player Board'!$D$4:$D$163,MATCH(B17,'Player Board'!$B$4:$B$163,0)))</f>
        <v>7</v>
      </c>
      <c r="E17">
        <f>IF(B17="","",INDEX('Player Board'!$H$4:$H$163,MATCH(B17,'Player Board'!$B$4:$B$163,0)))</f>
        <v>69</v>
      </c>
      <c r="F17">
        <f>IF(B17="","",INDEX('Player Board'!$F$4:$F$163,MATCH(B17,'Player Board'!$B$4:$B$163,0)))</f>
        <v>6</v>
      </c>
      <c r="G17" t="str">
        <f>IF(B17="","",INDEX('Player Board'!$P$4:$P$163,MATCH(B17,'Player Board'!$B$4:$B$163,0)))</f>
        <v>No</v>
      </c>
      <c r="H17" t="str">
        <f>IF(B17="","",INDEX('Player Board'!$M$4:$M$163,MATCH(B17,'Player Board'!$B$4:$B$163,0)))</f>
        <v>Value</v>
      </c>
      <c r="I17">
        <f>IF(B17="","",INDEX('Player Board'!$G$4:$G$163,MATCH(B17,'Player Board'!$B$4:$B$163,0)))</f>
        <v>68</v>
      </c>
      <c r="J17" s="1" t="str">
        <f>IF(B17="","",INDEX('Player Board'!$N$4:$N$163,MATCH(B17,'Player Board'!$B$4:$B$163,0)))</f>
        <v>No TEP and shallow replacement depth require real weekly separation before paying a major premium.</v>
      </c>
      <c r="K17">
        <f>IF(B17="","",IFERROR(INDEX('Player Board'!$Q$4:$Q$163,MATCH(B17,'Player Board'!$B$4:$B$163,0)),""))</f>
        <v>13</v>
      </c>
      <c r="L17">
        <f t="shared" si="0"/>
        <v>-56</v>
      </c>
    </row>
    <row r="18" spans="1:12" ht="40.5">
      <c r="A18">
        <f>IFERROR(SMALL('Player Board'!$O$4:$O$163,14),"")</f>
        <v>71</v>
      </c>
      <c r="B18" t="str">
        <f>IF(OR(A18="",A18=9999),"",INDEX('Player Board'!$B$4:$B$163,MATCH(A18,'Player Board'!$H$4:$H$163,0)))</f>
        <v>Harold Fannin Jr.</v>
      </c>
      <c r="C18" t="str">
        <f>IF(B18="","",INDEX('Player Board'!$C$4:$C$163,MATCH(B18,'Player Board'!$B$4:$B$163,0)))</f>
        <v>TE</v>
      </c>
      <c r="D18">
        <f>IF(B18="","",INDEX('Player Board'!$D$4:$D$163,MATCH(B18,'Player Board'!$B$4:$B$163,0)))</f>
        <v>8</v>
      </c>
      <c r="E18">
        <f>IF(B18="","",INDEX('Player Board'!$H$4:$H$163,MATCH(B18,'Player Board'!$B$4:$B$163,0)))</f>
        <v>71</v>
      </c>
      <c r="F18">
        <f>IF(B18="","",INDEX('Player Board'!$F$4:$F$163,MATCH(B18,'Player Board'!$B$4:$B$163,0)))</f>
        <v>6</v>
      </c>
      <c r="G18" t="str">
        <f>IF(B18="","",INDEX('Player Board'!$P$4:$P$163,MATCH(B18,'Player Board'!$B$4:$B$163,0)))</f>
        <v>No</v>
      </c>
      <c r="H18" t="str">
        <f>IF(B18="","",INDEX('Player Board'!$M$4:$M$163,MATCH(B18,'Player Board'!$B$4:$B$163,0)))</f>
        <v>Value</v>
      </c>
      <c r="I18">
        <f>IF(B18="","",INDEX('Player Board'!$G$4:$G$163,MATCH(B18,'Player Board'!$B$4:$B$163,0)))</f>
        <v>75</v>
      </c>
      <c r="J18" s="1" t="str">
        <f>IF(B18="","",INDEX('Player Board'!$N$4:$N$163,MATCH(B18,'Player Board'!$B$4:$B$163,0)))</f>
        <v>No TEP and shallow replacement depth require real weekly separation before paying a major premium.</v>
      </c>
      <c r="K18">
        <f>IF(B18="","",IFERROR(INDEX('Player Board'!$Q$4:$Q$163,MATCH(B18,'Player Board'!$B$4:$B$163,0)),""))</f>
        <v>14</v>
      </c>
      <c r="L18">
        <f t="shared" si="0"/>
        <v>-57</v>
      </c>
    </row>
    <row r="19" spans="1:12" ht="40.5">
      <c r="A19">
        <f>IFERROR(SMALL('Player Board'!$O$4:$O$163,15),"")</f>
        <v>72</v>
      </c>
      <c r="B19" t="str">
        <f>IF(OR(A19="",A19=9999),"",INDEX('Player Board'!$B$4:$B$163,MATCH(A19,'Player Board'!$H$4:$H$163,0)))</f>
        <v>Cam Ward</v>
      </c>
      <c r="C19" t="str">
        <f>IF(B19="","",INDEX('Player Board'!$C$4:$C$163,MATCH(B19,'Player Board'!$B$4:$B$163,0)))</f>
        <v>QB</v>
      </c>
      <c r="D19">
        <f>IF(B19="","",INDEX('Player Board'!$D$4:$D$163,MATCH(B19,'Player Board'!$B$4:$B$163,0)))</f>
        <v>17</v>
      </c>
      <c r="E19">
        <f>IF(B19="","",INDEX('Player Board'!$H$4:$H$163,MATCH(B19,'Player Board'!$B$4:$B$163,0)))</f>
        <v>72</v>
      </c>
      <c r="F19">
        <f>IF(B19="","",INDEX('Player Board'!$F$4:$F$163,MATCH(B19,'Player Board'!$B$4:$B$163,0)))</f>
        <v>6</v>
      </c>
      <c r="G19" t="str">
        <f>IF(B19="","",INDEX('Player Board'!$P$4:$P$163,MATCH(B19,'Player Board'!$B$4:$B$163,0)))</f>
        <v>No</v>
      </c>
      <c r="H19" t="str">
        <f>IF(B19="","",INDEX('Player Board'!$M$4:$M$163,MATCH(B19,'Player Board'!$B$4:$B$163,0)))</f>
        <v>Value</v>
      </c>
      <c r="I19">
        <f>IF(B19="","",INDEX('Player Board'!$G$4:$G$163,MATCH(B19,'Player Board'!$B$4:$B$163,0)))</f>
        <v>54</v>
      </c>
      <c r="J19" s="1" t="str">
        <f>IF(B19="","",INDEX('Player Board'!$N$4:$N$163,MATCH(B19,'Player Board'!$B$4:$B$163,0)))</f>
        <v>Eight-team quarterback depth compresses non-elite QB value versus standard 12-team superflex.</v>
      </c>
      <c r="K19">
        <f>IF(B19="","",IFERROR(INDEX('Player Board'!$Q$4:$Q$163,MATCH(B19,'Player Board'!$B$4:$B$163,0)),""))</f>
        <v>15</v>
      </c>
      <c r="L19">
        <f t="shared" si="0"/>
        <v>-57</v>
      </c>
    </row>
    <row r="20" spans="1:12" ht="40.5">
      <c r="A20">
        <f>IFERROR(SMALL('Player Board'!$O$4:$O$163,16),"")</f>
        <v>73</v>
      </c>
      <c r="B20" t="str">
        <f>IF(OR(A20="",A20=9999),"",INDEX('Player Board'!$B$4:$B$163,MATCH(A20,'Player Board'!$H$4:$H$163,0)))</f>
        <v>Jared Goff</v>
      </c>
      <c r="C20" t="str">
        <f>IF(B20="","",INDEX('Player Board'!$C$4:$C$163,MATCH(B20,'Player Board'!$B$4:$B$163,0)))</f>
        <v>QB</v>
      </c>
      <c r="D20">
        <f>IF(B20="","",INDEX('Player Board'!$D$4:$D$163,MATCH(B20,'Player Board'!$B$4:$B$163,0)))</f>
        <v>18</v>
      </c>
      <c r="E20">
        <f>IF(B20="","",INDEX('Player Board'!$H$4:$H$163,MATCH(B20,'Player Board'!$B$4:$B$163,0)))</f>
        <v>73</v>
      </c>
      <c r="F20">
        <f>IF(B20="","",INDEX('Player Board'!$F$4:$F$163,MATCH(B20,'Player Board'!$B$4:$B$163,0)))</f>
        <v>6</v>
      </c>
      <c r="G20" t="str">
        <f>IF(B20="","",INDEX('Player Board'!$P$4:$P$163,MATCH(B20,'Player Board'!$B$4:$B$163,0)))</f>
        <v>No</v>
      </c>
      <c r="H20" t="str">
        <f>IF(B20="","",INDEX('Player Board'!$M$4:$M$163,MATCH(B20,'Player Board'!$B$4:$B$163,0)))</f>
        <v>Value</v>
      </c>
      <c r="I20">
        <f>IF(B20="","",INDEX('Player Board'!$G$4:$G$163,MATCH(B20,'Player Board'!$B$4:$B$163,0)))</f>
        <v>78</v>
      </c>
      <c r="J20" s="1" t="str">
        <f>IF(B20="","",INDEX('Player Board'!$N$4:$N$163,MATCH(B20,'Player Board'!$B$4:$B$163,0)))</f>
        <v>Eight-team quarterback depth compresses non-elite QB value versus standard 12-team superflex.</v>
      </c>
      <c r="K20">
        <f>IF(B20="","",IFERROR(INDEX('Player Board'!$Q$4:$Q$163,MATCH(B20,'Player Board'!$B$4:$B$163,0)),""))</f>
        <v>16</v>
      </c>
      <c r="L20">
        <f t="shared" si="0"/>
        <v>-57</v>
      </c>
    </row>
    <row r="21" spans="1:12" ht="40.5">
      <c r="A21">
        <f>IFERROR(SMALL('Player Board'!$O$4:$O$163,17),"")</f>
        <v>74</v>
      </c>
      <c r="B21" t="str">
        <f>IF(OR(A21="",A21=9999),"",INDEX('Player Board'!$B$4:$B$163,MATCH(A21,'Player Board'!$H$4:$H$163,0)))</f>
        <v>Baker Mayfield</v>
      </c>
      <c r="C21" t="str">
        <f>IF(B21="","",INDEX('Player Board'!$C$4:$C$163,MATCH(B21,'Player Board'!$B$4:$B$163,0)))</f>
        <v>QB</v>
      </c>
      <c r="D21">
        <f>IF(B21="","",INDEX('Player Board'!$D$4:$D$163,MATCH(B21,'Player Board'!$B$4:$B$163,0)))</f>
        <v>19</v>
      </c>
      <c r="E21">
        <f>IF(B21="","",INDEX('Player Board'!$H$4:$H$163,MATCH(B21,'Player Board'!$B$4:$B$163,0)))</f>
        <v>74</v>
      </c>
      <c r="F21">
        <f>IF(B21="","",INDEX('Player Board'!$F$4:$F$163,MATCH(B21,'Player Board'!$B$4:$B$163,0)))</f>
        <v>6</v>
      </c>
      <c r="G21" t="str">
        <f>IF(B21="","",INDEX('Player Board'!$P$4:$P$163,MATCH(B21,'Player Board'!$B$4:$B$163,0)))</f>
        <v>No</v>
      </c>
      <c r="H21" t="str">
        <f>IF(B21="","",INDEX('Player Board'!$M$4:$M$163,MATCH(B21,'Player Board'!$B$4:$B$163,0)))</f>
        <v>Value</v>
      </c>
      <c r="I21">
        <f>IF(B21="","",INDEX('Player Board'!$G$4:$G$163,MATCH(B21,'Player Board'!$B$4:$B$163,0)))</f>
        <v>79</v>
      </c>
      <c r="J21" s="1" t="str">
        <f>IF(B21="","",INDEX('Player Board'!$N$4:$N$163,MATCH(B21,'Player Board'!$B$4:$B$163,0)))</f>
        <v>Eight-team quarterback depth compresses non-elite QB value versus standard 12-team superflex.</v>
      </c>
      <c r="K21">
        <f>IF(B21="","",IFERROR(INDEX('Player Board'!$Q$4:$Q$163,MATCH(B21,'Player Board'!$B$4:$B$163,0)),""))</f>
        <v>17</v>
      </c>
      <c r="L21">
        <f t="shared" si="0"/>
        <v>-57</v>
      </c>
    </row>
    <row r="22" spans="1:12" ht="40.5">
      <c r="A22">
        <f>IFERROR(SMALL('Player Board'!$O$4:$O$163,18),"")</f>
        <v>75</v>
      </c>
      <c r="B22" t="str">
        <f>IF(OR(A22="",A22=9999),"",INDEX('Player Board'!$B$4:$B$163,MATCH(A22,'Player Board'!$H$4:$H$163,0)))</f>
        <v>Javonte Williams</v>
      </c>
      <c r="C22" t="str">
        <f>IF(B22="","",INDEX('Player Board'!$C$4:$C$163,MATCH(B22,'Player Board'!$B$4:$B$163,0)))</f>
        <v>RB</v>
      </c>
      <c r="D22">
        <f>IF(B22="","",INDEX('Player Board'!$D$4:$D$163,MATCH(B22,'Player Board'!$B$4:$B$163,0)))</f>
        <v>20</v>
      </c>
      <c r="E22">
        <f>IF(B22="","",INDEX('Player Board'!$H$4:$H$163,MATCH(B22,'Player Board'!$B$4:$B$163,0)))</f>
        <v>75</v>
      </c>
      <c r="F22">
        <f>IF(B22="","",INDEX('Player Board'!$F$4:$F$163,MATCH(B22,'Player Board'!$B$4:$B$163,0)))</f>
        <v>6</v>
      </c>
      <c r="G22" t="str">
        <f>IF(B22="","",INDEX('Player Board'!$P$4:$P$163,MATCH(B22,'Player Board'!$B$4:$B$163,0)))</f>
        <v>No</v>
      </c>
      <c r="H22" t="str">
        <f>IF(B22="","",INDEX('Player Board'!$M$4:$M$163,MATCH(B22,'Player Board'!$B$4:$B$163,0)))</f>
        <v>Value</v>
      </c>
      <c r="I22">
        <f>IF(B22="","",INDEX('Player Board'!$G$4:$G$163,MATCH(B22,'Player Board'!$B$4:$B$163,0)))</f>
        <v>81</v>
      </c>
      <c r="J22" s="1" t="str">
        <f>IF(B22="","",INDEX('Player Board'!$N$4:$N$163,MATCH(B22,'Player Board'!$B$4:$B$163,0)))</f>
        <v>Near KTC after adjusting for six keepers, taxi value, role security, and eight-team replacement depth.</v>
      </c>
      <c r="K22">
        <f>IF(B22="","",IFERROR(INDEX('Player Board'!$Q$4:$Q$163,MATCH(B22,'Player Board'!$B$4:$B$163,0)),""))</f>
        <v>18</v>
      </c>
      <c r="L22">
        <f t="shared" si="0"/>
        <v>-57</v>
      </c>
    </row>
    <row r="23" spans="1:12" ht="40.5">
      <c r="A23">
        <f>IFERROR(SMALL('Player Board'!$O$4:$O$163,19),"")</f>
        <v>76</v>
      </c>
      <c r="B23" t="str">
        <f>IF(OR(A23="",A23=9999),"",INDEX('Player Board'!$B$4:$B$163,MATCH(A23,'Player Board'!$H$4:$H$163,0)))</f>
        <v>Jameson Williams</v>
      </c>
      <c r="C23" t="str">
        <f>IF(B23="","",INDEX('Player Board'!$C$4:$C$163,MATCH(B23,'Player Board'!$B$4:$B$163,0)))</f>
        <v>WR</v>
      </c>
      <c r="D23">
        <f>IF(B23="","",INDEX('Player Board'!$D$4:$D$163,MATCH(B23,'Player Board'!$B$4:$B$163,0)))</f>
        <v>29</v>
      </c>
      <c r="E23">
        <f>IF(B23="","",INDEX('Player Board'!$H$4:$H$163,MATCH(B23,'Player Board'!$B$4:$B$163,0)))</f>
        <v>76</v>
      </c>
      <c r="F23">
        <f>IF(B23="","",INDEX('Player Board'!$F$4:$F$163,MATCH(B23,'Player Board'!$B$4:$B$163,0)))</f>
        <v>6</v>
      </c>
      <c r="G23" t="str">
        <f>IF(B23="","",INDEX('Player Board'!$P$4:$P$163,MATCH(B23,'Player Board'!$B$4:$B$163,0)))</f>
        <v>No</v>
      </c>
      <c r="H23" t="str">
        <f>IF(B23="","",INDEX('Player Board'!$M$4:$M$163,MATCH(B23,'Player Board'!$B$4:$B$163,0)))</f>
        <v>Value</v>
      </c>
      <c r="I23">
        <f>IF(B23="","",INDEX('Player Board'!$G$4:$G$163,MATCH(B23,'Player Board'!$B$4:$B$163,0)))</f>
        <v>77</v>
      </c>
      <c r="J23" s="1" t="str">
        <f>IF(B23="","",INDEX('Player Board'!$N$4:$N$163,MATCH(B23,'Player Board'!$B$4:$B$163,0)))</f>
        <v>Near KTC after adjusting for six keepers, taxi value, role security, and eight-team replacement depth.</v>
      </c>
      <c r="K23">
        <f>IF(B23="","",IFERROR(INDEX('Player Board'!$Q$4:$Q$163,MATCH(B23,'Player Board'!$B$4:$B$163,0)),""))</f>
        <v>19</v>
      </c>
      <c r="L23">
        <f t="shared" si="0"/>
        <v>-57</v>
      </c>
    </row>
    <row r="24" spans="1:12" ht="40.5">
      <c r="A24">
        <f>IFERROR(SMALL('Player Board'!$O$4:$O$163,20),"")</f>
        <v>77</v>
      </c>
      <c r="B24" t="str">
        <f>IF(OR(A24="",A24=9999),"",INDEX('Player Board'!$B$4:$B$163,MATCH(A24,'Player Board'!$H$4:$H$163,0)))</f>
        <v>Marvin Harrison Jr.</v>
      </c>
      <c r="C24" t="str">
        <f>IF(B24="","",INDEX('Player Board'!$C$4:$C$163,MATCH(B24,'Player Board'!$B$4:$B$163,0)))</f>
        <v>WR</v>
      </c>
      <c r="D24">
        <f>IF(B24="","",INDEX('Player Board'!$D$4:$D$163,MATCH(B24,'Player Board'!$B$4:$B$163,0)))</f>
        <v>30</v>
      </c>
      <c r="E24">
        <f>IF(B24="","",INDEX('Player Board'!$H$4:$H$163,MATCH(B24,'Player Board'!$B$4:$B$163,0)))</f>
        <v>77</v>
      </c>
      <c r="F24">
        <f>IF(B24="","",INDEX('Player Board'!$F$4:$F$163,MATCH(B24,'Player Board'!$B$4:$B$163,0)))</f>
        <v>6</v>
      </c>
      <c r="G24" t="str">
        <f>IF(B24="","",INDEX('Player Board'!$P$4:$P$163,MATCH(B24,'Player Board'!$B$4:$B$163,0)))</f>
        <v>No</v>
      </c>
      <c r="H24" t="str">
        <f>IF(B24="","",INDEX('Player Board'!$M$4:$M$163,MATCH(B24,'Player Board'!$B$4:$B$163,0)))</f>
        <v>Value</v>
      </c>
      <c r="I24">
        <f>IF(B24="","",INDEX('Player Board'!$G$4:$G$163,MATCH(B24,'Player Board'!$B$4:$B$163,0)))</f>
        <v>67</v>
      </c>
      <c r="J24" s="1" t="str">
        <f>IF(B24="","",INDEX('Player Board'!$N$4:$N$163,MATCH(B24,'Player Board'!$B$4:$B$163,0)))</f>
        <v>Lower than KTC because generic dynasty value overstates patience, scarcity, or long-term upside here.</v>
      </c>
      <c r="K24">
        <f>IF(B24="","",IFERROR(INDEX('Player Board'!$Q$4:$Q$163,MATCH(B24,'Player Board'!$B$4:$B$163,0)),""))</f>
        <v>20</v>
      </c>
      <c r="L24">
        <f t="shared" si="0"/>
        <v>-57</v>
      </c>
    </row>
    <row r="25" spans="1:12" ht="40.5">
      <c r="A25">
        <f>IFERROR(SMALL('Player Board'!$O$4:$O$163,21),"")</f>
        <v>78</v>
      </c>
      <c r="B25" t="str">
        <f>IF(OR(A25="",A25=9999),"",INDEX('Player Board'!$B$4:$B$163,MATCH(A25,'Player Board'!$H$4:$H$163,0)))</f>
        <v>Davante Adams</v>
      </c>
      <c r="C25" t="str">
        <f>IF(B25="","",INDEX('Player Board'!$C$4:$C$163,MATCH(B25,'Player Board'!$B$4:$B$163,0)))</f>
        <v>WR</v>
      </c>
      <c r="D25">
        <f>IF(B25="","",INDEX('Player Board'!$D$4:$D$163,MATCH(B25,'Player Board'!$B$4:$B$163,0)))</f>
        <v>31</v>
      </c>
      <c r="E25">
        <f>IF(B25="","",INDEX('Player Board'!$H$4:$H$163,MATCH(B25,'Player Board'!$B$4:$B$163,0)))</f>
        <v>78</v>
      </c>
      <c r="F25">
        <f>IF(B25="","",INDEX('Player Board'!$F$4:$F$163,MATCH(B25,'Player Board'!$B$4:$B$163,0)))</f>
        <v>6</v>
      </c>
      <c r="G25" t="str">
        <f>IF(B25="","",INDEX('Player Board'!$P$4:$P$163,MATCH(B25,'Player Board'!$B$4:$B$163,0)))</f>
        <v>No</v>
      </c>
      <c r="H25" t="str">
        <f>IF(B25="","",INDEX('Player Board'!$M$4:$M$163,MATCH(B25,'Player Board'!$B$4:$B$163,0)))</f>
        <v>Value</v>
      </c>
      <c r="I25">
        <f>IF(B25="","",INDEX('Player Board'!$G$4:$G$163,MATCH(B25,'Player Board'!$B$4:$B$163,0)))</f>
        <v>106</v>
      </c>
      <c r="J25" s="1" t="str">
        <f>IF(B25="","",INDEX('Player Board'!$N$4:$N$163,MATCH(B25,'Player Board'!$B$4:$B$163,0)))</f>
        <v>Age and declining liquidity matter, but his near-term scoring should remain ahead of many developmental bets.</v>
      </c>
      <c r="K25">
        <f>IF(B25="","",IFERROR(INDEX('Player Board'!$Q$4:$Q$163,MATCH(B25,'Player Board'!$B$4:$B$163,0)),""))</f>
        <v>21</v>
      </c>
      <c r="L25">
        <f t="shared" si="0"/>
        <v>-57</v>
      </c>
    </row>
    <row r="26" spans="1:12" ht="40.5">
      <c r="A26">
        <f>IFERROR(SMALL('Player Board'!$O$4:$O$163,22),"")</f>
        <v>79</v>
      </c>
      <c r="B26" t="str">
        <f>IF(OR(A26="",A26=9999),"",INDEX('Player Board'!$B$4:$B$163,MATCH(A26,'Player Board'!$H$4:$H$163,0)))</f>
        <v>Jadarian Price</v>
      </c>
      <c r="C26" t="str">
        <f>IF(B26="","",INDEX('Player Board'!$C$4:$C$163,MATCH(B26,'Player Board'!$B$4:$B$163,0)))</f>
        <v>RB</v>
      </c>
      <c r="D26">
        <f>IF(B26="","",INDEX('Player Board'!$D$4:$D$163,MATCH(B26,'Player Board'!$B$4:$B$163,0)))</f>
        <v>21</v>
      </c>
      <c r="E26">
        <f>IF(B26="","",INDEX('Player Board'!$H$4:$H$163,MATCH(B26,'Player Board'!$B$4:$B$163,0)))</f>
        <v>79</v>
      </c>
      <c r="F26">
        <f>IF(B26="","",INDEX('Player Board'!$F$4:$F$163,MATCH(B26,'Player Board'!$B$4:$B$163,0)))</f>
        <v>6</v>
      </c>
      <c r="G26" t="str">
        <f>IF(B26="","",INDEX('Player Board'!$P$4:$P$163,MATCH(B26,'Player Board'!$B$4:$B$163,0)))</f>
        <v>Yes</v>
      </c>
      <c r="H26" t="str">
        <f>IF(B26="","",INDEX('Player Board'!$M$4:$M$163,MATCH(B26,'Player Board'!$B$4:$B$163,0)))</f>
        <v>Value</v>
      </c>
      <c r="I26">
        <f>IF(B26="","",INDEX('Player Board'!$G$4:$G$163,MATCH(B26,'Player Board'!$B$4:$B$163,0)))</f>
        <v>72</v>
      </c>
      <c r="J26" s="1" t="str">
        <f>IF(B26="","",INDEX('Player Board'!$N$4:$N$163,MATCH(B26,'Player Board'!$B$4:$B$163,0)))</f>
        <v>Near KTC after adjusting for six keepers, taxi value, role security, and eight-team replacement depth.</v>
      </c>
      <c r="K26">
        <f>IF(B26="","",IFERROR(INDEX('Player Board'!$Q$4:$Q$163,MATCH(B26,'Player Board'!$B$4:$B$163,0)),""))</f>
        <v>22</v>
      </c>
      <c r="L26">
        <f t="shared" si="0"/>
        <v>-57</v>
      </c>
    </row>
    <row r="27" spans="1:12" ht="40.5">
      <c r="A27">
        <f>IFERROR(SMALL('Player Board'!$O$4:$O$163,23),"")</f>
        <v>82</v>
      </c>
      <c r="B27" t="str">
        <f>IF(OR(A27="",A27=9999),"",INDEX('Player Board'!$B$4:$B$163,MATCH(A27,'Player Board'!$H$4:$H$163,0)))</f>
        <v>Mike Evans</v>
      </c>
      <c r="C27" t="str">
        <f>IF(B27="","",INDEX('Player Board'!$C$4:$C$163,MATCH(B27,'Player Board'!$B$4:$B$163,0)))</f>
        <v>WR</v>
      </c>
      <c r="D27">
        <f>IF(B27="","",INDEX('Player Board'!$D$4:$D$163,MATCH(B27,'Player Board'!$B$4:$B$163,0)))</f>
        <v>32</v>
      </c>
      <c r="E27">
        <f>IF(B27="","",INDEX('Player Board'!$H$4:$H$163,MATCH(B27,'Player Board'!$B$4:$B$163,0)))</f>
        <v>82</v>
      </c>
      <c r="F27">
        <f>IF(B27="","",INDEX('Player Board'!$F$4:$F$163,MATCH(B27,'Player Board'!$B$4:$B$163,0)))</f>
        <v>7</v>
      </c>
      <c r="G27" t="str">
        <f>IF(B27="","",INDEX('Player Board'!$P$4:$P$163,MATCH(B27,'Player Board'!$B$4:$B$163,0)))</f>
        <v>No</v>
      </c>
      <c r="H27" t="str">
        <f>IF(B27="","",INDEX('Player Board'!$M$4:$M$163,MATCH(B27,'Player Board'!$B$4:$B$163,0)))</f>
        <v>Late</v>
      </c>
      <c r="I27">
        <f>IF(B27="","",INDEX('Player Board'!$G$4:$G$163,MATCH(B27,'Player Board'!$B$4:$B$163,0)))</f>
        <v>123</v>
      </c>
      <c r="J27" s="1" t="str">
        <f>IF(B27="","",INDEX('Player Board'!$N$4:$N$163,MATCH(B27,'Player Board'!$B$4:$B$163,0)))</f>
        <v>Age compresses long-term value, but touchdown and weekly ceiling remain highly relevant in the annual draft.</v>
      </c>
      <c r="K27">
        <f>IF(B27="","",IFERROR(INDEX('Player Board'!$Q$4:$Q$163,MATCH(B27,'Player Board'!$B$4:$B$163,0)),""))</f>
        <v>23</v>
      </c>
      <c r="L27">
        <f t="shared" si="0"/>
        <v>-59</v>
      </c>
    </row>
    <row r="28" spans="1:12" ht="40.5">
      <c r="A28">
        <f>IFERROR(SMALL('Player Board'!$O$4:$O$163,24),"")</f>
        <v>83</v>
      </c>
      <c r="B28" t="str">
        <f>IF(OR(A28="",A28=9999),"",INDEX('Player Board'!$B$4:$B$163,MATCH(A28,'Player Board'!$H$4:$H$163,0)))</f>
        <v>C.J. Stroud</v>
      </c>
      <c r="C28" t="str">
        <f>IF(B28="","",INDEX('Player Board'!$C$4:$C$163,MATCH(B28,'Player Board'!$B$4:$B$163,0)))</f>
        <v>QB</v>
      </c>
      <c r="D28">
        <f>IF(B28="","",INDEX('Player Board'!$D$4:$D$163,MATCH(B28,'Player Board'!$B$4:$B$163,0)))</f>
        <v>21</v>
      </c>
      <c r="E28">
        <f>IF(B28="","",INDEX('Player Board'!$H$4:$H$163,MATCH(B28,'Player Board'!$B$4:$B$163,0)))</f>
        <v>83</v>
      </c>
      <c r="F28">
        <f>IF(B28="","",INDEX('Player Board'!$F$4:$F$163,MATCH(B28,'Player Board'!$B$4:$B$163,0)))</f>
        <v>7</v>
      </c>
      <c r="G28" t="str">
        <f>IF(B28="","",INDEX('Player Board'!$P$4:$P$163,MATCH(B28,'Player Board'!$B$4:$B$163,0)))</f>
        <v>No</v>
      </c>
      <c r="H28" t="str">
        <f>IF(B28="","",INDEX('Player Board'!$M$4:$M$163,MATCH(B28,'Player Board'!$B$4:$B$163,0)))</f>
        <v>Late</v>
      </c>
      <c r="I28">
        <f>IF(B28="","",INDEX('Player Board'!$G$4:$G$163,MATCH(B28,'Player Board'!$B$4:$B$163,0)))</f>
        <v>76</v>
      </c>
      <c r="J28" s="1" t="str">
        <f>IF(B28="","",INDEX('Player Board'!$N$4:$N$163,MATCH(B28,'Player Board'!$B$4:$B$163,0)))</f>
        <v>Eight-team quarterback depth compresses non-elite QB value versus standard 12-team superflex.</v>
      </c>
      <c r="K28">
        <f>IF(B28="","",IFERROR(INDEX('Player Board'!$Q$4:$Q$163,MATCH(B28,'Player Board'!$B$4:$B$163,0)),""))</f>
        <v>24</v>
      </c>
      <c r="L28">
        <f t="shared" si="0"/>
        <v>-59</v>
      </c>
    </row>
    <row r="29" spans="1:12" ht="40.5">
      <c r="A29">
        <f>IFERROR(SMALL('Player Board'!$O$4:$O$163,25),"")</f>
        <v>84</v>
      </c>
      <c r="B29" t="str">
        <f>IF(OR(A29="",A29=9999),"",INDEX('Player Board'!$B$4:$B$163,MATCH(A29,'Player Board'!$H$4:$H$163,0)))</f>
        <v>Kyle Pitts</v>
      </c>
      <c r="C29" t="str">
        <f>IF(B29="","",INDEX('Player Board'!$C$4:$C$163,MATCH(B29,'Player Board'!$B$4:$B$163,0)))</f>
        <v>TE</v>
      </c>
      <c r="D29">
        <f>IF(B29="","",INDEX('Player Board'!$D$4:$D$163,MATCH(B29,'Player Board'!$B$4:$B$163,0)))</f>
        <v>9</v>
      </c>
      <c r="E29">
        <f>IF(B29="","",INDEX('Player Board'!$H$4:$H$163,MATCH(B29,'Player Board'!$B$4:$B$163,0)))</f>
        <v>84</v>
      </c>
      <c r="F29">
        <f>IF(B29="","",INDEX('Player Board'!$F$4:$F$163,MATCH(B29,'Player Board'!$B$4:$B$163,0)))</f>
        <v>7</v>
      </c>
      <c r="G29" t="str">
        <f>IF(B29="","",INDEX('Player Board'!$P$4:$P$163,MATCH(B29,'Player Board'!$B$4:$B$163,0)))</f>
        <v>No</v>
      </c>
      <c r="H29" t="str">
        <f>IF(B29="","",INDEX('Player Board'!$M$4:$M$163,MATCH(B29,'Player Board'!$B$4:$B$163,0)))</f>
        <v>Late</v>
      </c>
      <c r="I29">
        <f>IF(B29="","",INDEX('Player Board'!$G$4:$G$163,MATCH(B29,'Player Board'!$B$4:$B$163,0)))</f>
        <v>78</v>
      </c>
      <c r="J29" s="1" t="str">
        <f>IF(B29="","",INDEX('Player Board'!$N$4:$N$163,MATCH(B29,'Player Board'!$B$4:$B$163,0)))</f>
        <v>No TEP and shallow replacement depth require real weekly separation before paying a major premium.</v>
      </c>
      <c r="K29">
        <f>IF(B29="","",IFERROR(INDEX('Player Board'!$Q$4:$Q$163,MATCH(B29,'Player Board'!$B$4:$B$163,0)),""))</f>
        <v>25</v>
      </c>
      <c r="L29">
        <f t="shared" si="0"/>
        <v>-59</v>
      </c>
    </row>
    <row r="30" spans="1:12" ht="40.5">
      <c r="A30">
        <f>IFERROR(SMALL('Player Board'!$O$4:$O$163,26),"")</f>
        <v>85</v>
      </c>
      <c r="B30" t="str">
        <f>IF(OR(A30="",A30=9999),"",INDEX('Player Board'!$B$4:$B$163,MATCH(A30,'Player Board'!$H$4:$H$163,0)))</f>
        <v>Sam Darnold</v>
      </c>
      <c r="C30" t="str">
        <f>IF(B30="","",INDEX('Player Board'!$C$4:$C$163,MATCH(B30,'Player Board'!$B$4:$B$163,0)))</f>
        <v>QB</v>
      </c>
      <c r="D30">
        <f>IF(B30="","",INDEX('Player Board'!$D$4:$D$163,MATCH(B30,'Player Board'!$B$4:$B$163,0)))</f>
        <v>22</v>
      </c>
      <c r="E30">
        <f>IF(B30="","",INDEX('Player Board'!$H$4:$H$163,MATCH(B30,'Player Board'!$B$4:$B$163,0)))</f>
        <v>85</v>
      </c>
      <c r="F30">
        <f>IF(B30="","",INDEX('Player Board'!$F$4:$F$163,MATCH(B30,'Player Board'!$B$4:$B$163,0)))</f>
        <v>7</v>
      </c>
      <c r="G30" t="str">
        <f>IF(B30="","",INDEX('Player Board'!$P$4:$P$163,MATCH(B30,'Player Board'!$B$4:$B$163,0)))</f>
        <v>No</v>
      </c>
      <c r="H30" t="str">
        <f>IF(B30="","",INDEX('Player Board'!$M$4:$M$163,MATCH(B30,'Player Board'!$B$4:$B$163,0)))</f>
        <v>Late</v>
      </c>
      <c r="I30">
        <f>IF(B30="","",INDEX('Player Board'!$G$4:$G$163,MATCH(B30,'Player Board'!$B$4:$B$163,0)))</f>
        <v>79</v>
      </c>
      <c r="J30" s="1" t="str">
        <f>IF(B30="","",INDEX('Player Board'!$N$4:$N$163,MATCH(B30,'Player Board'!$B$4:$B$163,0)))</f>
        <v>Eight-team quarterback depth compresses non-elite QB value versus standard 12-team superflex.</v>
      </c>
      <c r="K30">
        <f>IF(B30="","",IFERROR(INDEX('Player Board'!$Q$4:$Q$163,MATCH(B30,'Player Board'!$B$4:$B$163,0)),""))</f>
        <v>26</v>
      </c>
      <c r="L30">
        <f t="shared" si="0"/>
        <v>-59</v>
      </c>
    </row>
    <row r="31" spans="1:12" ht="40.5">
      <c r="A31">
        <f>IFERROR(SMALL('Player Board'!$O$4:$O$163,27),"")</f>
        <v>86</v>
      </c>
      <c r="B31" t="str">
        <f>IF(OR(A31="",A31=9999),"",INDEX('Player Board'!$B$4:$B$163,MATCH(A31,'Player Board'!$H$4:$H$163,0)))</f>
        <v>Travis Etienne Jr.</v>
      </c>
      <c r="C31" t="str">
        <f>IF(B31="","",INDEX('Player Board'!$C$4:$C$163,MATCH(B31,'Player Board'!$B$4:$B$163,0)))</f>
        <v>RB</v>
      </c>
      <c r="D31">
        <f>IF(B31="","",INDEX('Player Board'!$D$4:$D$163,MATCH(B31,'Player Board'!$B$4:$B$163,0)))</f>
        <v>23</v>
      </c>
      <c r="E31">
        <f>IF(B31="","",INDEX('Player Board'!$H$4:$H$163,MATCH(B31,'Player Board'!$B$4:$B$163,0)))</f>
        <v>86</v>
      </c>
      <c r="F31">
        <f>IF(B31="","",INDEX('Player Board'!$F$4:$F$163,MATCH(B31,'Player Board'!$B$4:$B$163,0)))</f>
        <v>7</v>
      </c>
      <c r="G31" t="str">
        <f>IF(B31="","",INDEX('Player Board'!$P$4:$P$163,MATCH(B31,'Player Board'!$B$4:$B$163,0)))</f>
        <v>No</v>
      </c>
      <c r="H31" t="str">
        <f>IF(B31="","",INDEX('Player Board'!$M$4:$M$163,MATCH(B31,'Player Board'!$B$4:$B$163,0)))</f>
        <v>Late</v>
      </c>
      <c r="I31">
        <f>IF(B31="","",INDEX('Player Board'!$G$4:$G$163,MATCH(B31,'Player Board'!$B$4:$B$163,0)))</f>
        <v>80</v>
      </c>
      <c r="J31" s="1" t="str">
        <f>IF(B31="","",INDEX('Player Board'!$N$4:$N$163,MATCH(B31,'Player Board'!$B$4:$B$163,0)))</f>
        <v>Near KTC after adjusting for six keepers, taxi value, role security, and eight-team replacement depth.</v>
      </c>
      <c r="K31">
        <f>IF(B31="","",IFERROR(INDEX('Player Board'!$Q$4:$Q$163,MATCH(B31,'Player Board'!$B$4:$B$163,0)),""))</f>
        <v>27</v>
      </c>
      <c r="L31">
        <f t="shared" si="0"/>
        <v>-59</v>
      </c>
    </row>
    <row r="32" spans="1:12" ht="40.5">
      <c r="A32">
        <f>IFERROR(SMALL('Player Board'!$O$4:$O$163,28),"")</f>
        <v>87</v>
      </c>
      <c r="B32" t="str">
        <f>IF(OR(A32="",A32=9999),"",INDEX('Player Board'!$B$4:$B$163,MATCH(A32,'Player Board'!$H$4:$H$163,0)))</f>
        <v>Kyler Murray</v>
      </c>
      <c r="C32" t="str">
        <f>IF(B32="","",INDEX('Player Board'!$C$4:$C$163,MATCH(B32,'Player Board'!$B$4:$B$163,0)))</f>
        <v>QB</v>
      </c>
      <c r="D32">
        <f>IF(B32="","",INDEX('Player Board'!$D$4:$D$163,MATCH(B32,'Player Board'!$B$4:$B$163,0)))</f>
        <v>23</v>
      </c>
      <c r="E32">
        <f>IF(B32="","",INDEX('Player Board'!$H$4:$H$163,MATCH(B32,'Player Board'!$B$4:$B$163,0)))</f>
        <v>87</v>
      </c>
      <c r="F32">
        <f>IF(B32="","",INDEX('Player Board'!$F$4:$F$163,MATCH(B32,'Player Board'!$B$4:$B$163,0)))</f>
        <v>7</v>
      </c>
      <c r="G32" t="str">
        <f>IF(B32="","",INDEX('Player Board'!$P$4:$P$163,MATCH(B32,'Player Board'!$B$4:$B$163,0)))</f>
        <v>No</v>
      </c>
      <c r="H32" t="str">
        <f>IF(B32="","",INDEX('Player Board'!$M$4:$M$163,MATCH(B32,'Player Board'!$B$4:$B$163,0)))</f>
        <v>Late</v>
      </c>
      <c r="I32">
        <f>IF(B32="","",INDEX('Player Board'!$G$4:$G$163,MATCH(B32,'Player Board'!$B$4:$B$163,0)))</f>
        <v>95</v>
      </c>
      <c r="J32" s="1" t="str">
        <f>IF(B32="","",INDEX('Player Board'!$N$4:$N$163,MATCH(B32,'Player Board'!$B$4:$B$163,0)))</f>
        <v>Eight-team quarterback depth compresses non-elite QB value versus standard 12-team superflex.</v>
      </c>
      <c r="K32">
        <f>IF(B32="","",IFERROR(INDEX('Player Board'!$Q$4:$Q$163,MATCH(B32,'Player Board'!$B$4:$B$163,0)),""))</f>
        <v>28</v>
      </c>
      <c r="L32">
        <f t="shared" si="0"/>
        <v>-59</v>
      </c>
    </row>
    <row r="33" spans="1:12" ht="40.5">
      <c r="A33">
        <f>IFERROR(SMALL('Player Board'!$O$4:$O$163,29),"")</f>
        <v>88</v>
      </c>
      <c r="B33" t="str">
        <f>IF(OR(A33="",A33=9999),"",INDEX('Player Board'!$B$4:$B$163,MATCH(A33,'Player Board'!$H$4:$H$163,0)))</f>
        <v>KC Concepcion</v>
      </c>
      <c r="C33" t="str">
        <f>IF(B33="","",INDEX('Player Board'!$C$4:$C$163,MATCH(B33,'Player Board'!$B$4:$B$163,0)))</f>
        <v>WR</v>
      </c>
      <c r="D33">
        <f>IF(B33="","",INDEX('Player Board'!$D$4:$D$163,MATCH(B33,'Player Board'!$B$4:$B$163,0)))</f>
        <v>33</v>
      </c>
      <c r="E33">
        <f>IF(B33="","",INDEX('Player Board'!$H$4:$H$163,MATCH(B33,'Player Board'!$B$4:$B$163,0)))</f>
        <v>88</v>
      </c>
      <c r="F33">
        <f>IF(B33="","",INDEX('Player Board'!$F$4:$F$163,MATCH(B33,'Player Board'!$B$4:$B$163,0)))</f>
        <v>7</v>
      </c>
      <c r="G33" t="str">
        <f>IF(B33="","",INDEX('Player Board'!$P$4:$P$163,MATCH(B33,'Player Board'!$B$4:$B$163,0)))</f>
        <v>Yes</v>
      </c>
      <c r="H33" t="str">
        <f>IF(B33="","",INDEX('Player Board'!$M$4:$M$163,MATCH(B33,'Player Board'!$B$4:$B$163,0)))</f>
        <v>Late</v>
      </c>
      <c r="I33">
        <f>IF(B33="","",INDEX('Player Board'!$G$4:$G$163,MATCH(B33,'Player Board'!$B$4:$B$163,0)))</f>
        <v>81</v>
      </c>
      <c r="J33" s="1" t="str">
        <f>IF(B33="","",INDEX('Player Board'!$N$4:$N$163,MATCH(B33,'Player Board'!$B$4:$B$163,0)))</f>
        <v>Near KTC after adjusting for six keepers, taxi value, role security, and eight-team replacement depth.</v>
      </c>
      <c r="K33">
        <f>IF(B33="","",IFERROR(INDEX('Player Board'!$Q$4:$Q$163,MATCH(B33,'Player Board'!$B$4:$B$163,0)),""))</f>
        <v>29</v>
      </c>
      <c r="L33">
        <f t="shared" si="0"/>
        <v>-59</v>
      </c>
    </row>
    <row r="34" spans="1:12" ht="40.5">
      <c r="A34">
        <f>IFERROR(SMALL('Player Board'!$O$4:$O$163,30),"")</f>
        <v>90</v>
      </c>
      <c r="B34" t="str">
        <f>IF(OR(A34="",A34=9999),"",INDEX('Player Board'!$B$4:$B$163,MATCH(A34,'Player Board'!$H$4:$H$163,0)))</f>
        <v>Christian Watson</v>
      </c>
      <c r="C34" t="str">
        <f>IF(B34="","",INDEX('Player Board'!$C$4:$C$163,MATCH(B34,'Player Board'!$B$4:$B$163,0)))</f>
        <v>WR</v>
      </c>
      <c r="D34">
        <f>IF(B34="","",INDEX('Player Board'!$D$4:$D$163,MATCH(B34,'Player Board'!$B$4:$B$163,0)))</f>
        <v>34</v>
      </c>
      <c r="E34">
        <f>IF(B34="","",INDEX('Player Board'!$H$4:$H$163,MATCH(B34,'Player Board'!$B$4:$B$163,0)))</f>
        <v>90</v>
      </c>
      <c r="F34">
        <f>IF(B34="","",INDEX('Player Board'!$F$4:$F$163,MATCH(B34,'Player Board'!$B$4:$B$163,0)))</f>
        <v>7</v>
      </c>
      <c r="G34" t="str">
        <f>IF(B34="","",INDEX('Player Board'!$P$4:$P$163,MATCH(B34,'Player Board'!$B$4:$B$163,0)))</f>
        <v>No</v>
      </c>
      <c r="H34" t="str">
        <f>IF(B34="","",INDEX('Player Board'!$M$4:$M$163,MATCH(B34,'Player Board'!$B$4:$B$163,0)))</f>
        <v>Late</v>
      </c>
      <c r="I34">
        <f>IF(B34="","",INDEX('Player Board'!$G$4:$G$163,MATCH(B34,'Player Board'!$B$4:$B$163,0)))</f>
        <v>86</v>
      </c>
      <c r="J34" s="1" t="str">
        <f>IF(B34="","",INDEX('Player Board'!$N$4:$N$163,MATCH(B34,'Player Board'!$B$4:$B$163,0)))</f>
        <v>Near KTC after adjusting for six keepers, taxi value, role security, and eight-team replacement depth.</v>
      </c>
      <c r="K34">
        <f>IF(B34="","",IFERROR(INDEX('Player Board'!$Q$4:$Q$163,MATCH(B34,'Player Board'!$B$4:$B$163,0)),""))</f>
        <v>30</v>
      </c>
      <c r="L34">
        <f t="shared" si="0"/>
        <v>-60</v>
      </c>
    </row>
    <row r="35" spans="1:12" ht="40.5">
      <c r="A35">
        <f>IFERROR(SMALL('Player Board'!$O$4:$O$163,31),"")</f>
        <v>91</v>
      </c>
      <c r="B35" t="str">
        <f>IF(OR(A35="",A35=9999),"",INDEX('Player Board'!$B$4:$B$163,MATCH(A35,'Player Board'!$H$4:$H$163,0)))</f>
        <v>Bryce Young</v>
      </c>
      <c r="C35" t="str">
        <f>IF(B35="","",INDEX('Player Board'!$C$4:$C$163,MATCH(B35,'Player Board'!$B$4:$B$163,0)))</f>
        <v>QB</v>
      </c>
      <c r="D35">
        <f>IF(B35="","",INDEX('Player Board'!$D$4:$D$163,MATCH(B35,'Player Board'!$B$4:$B$163,0)))</f>
        <v>24</v>
      </c>
      <c r="E35">
        <f>IF(B35="","",INDEX('Player Board'!$H$4:$H$163,MATCH(B35,'Player Board'!$B$4:$B$163,0)))</f>
        <v>91</v>
      </c>
      <c r="F35">
        <f>IF(B35="","",INDEX('Player Board'!$F$4:$F$163,MATCH(B35,'Player Board'!$B$4:$B$163,0)))</f>
        <v>7</v>
      </c>
      <c r="G35" t="str">
        <f>IF(B35="","",INDEX('Player Board'!$P$4:$P$163,MATCH(B35,'Player Board'!$B$4:$B$163,0)))</f>
        <v>No</v>
      </c>
      <c r="H35" t="str">
        <f>IF(B35="","",INDEX('Player Board'!$M$4:$M$163,MATCH(B35,'Player Board'!$B$4:$B$163,0)))</f>
        <v>Late</v>
      </c>
      <c r="I35">
        <f>IF(B35="","",INDEX('Player Board'!$G$4:$G$163,MATCH(B35,'Player Board'!$B$4:$B$163,0)))</f>
        <v>87</v>
      </c>
      <c r="J35" s="1" t="str">
        <f>IF(B35="","",INDEX('Player Board'!$N$4:$N$163,MATCH(B35,'Player Board'!$B$4:$B$163,0)))</f>
        <v>Eight-team quarterback depth compresses non-elite QB value versus standard 12-team superflex.</v>
      </c>
      <c r="K35">
        <f>IF(B35="","",IFERROR(INDEX('Player Board'!$Q$4:$Q$163,MATCH(B35,'Player Board'!$B$4:$B$163,0)),""))</f>
        <v>31</v>
      </c>
      <c r="L35">
        <f t="shared" si="0"/>
        <v>-60</v>
      </c>
    </row>
    <row r="36" spans="1:12" ht="40.5">
      <c r="A36">
        <f>IFERROR(SMALL('Player Board'!$O$4:$O$163,32),"")</f>
        <v>92</v>
      </c>
      <c r="B36" t="str">
        <f>IF(OR(A36="",A36=9999),"",INDEX('Player Board'!$B$4:$B$163,MATCH(A36,'Player Board'!$H$4:$H$163,0)))</f>
        <v>Malik Willis</v>
      </c>
      <c r="C36" t="str">
        <f>IF(B36="","",INDEX('Player Board'!$C$4:$C$163,MATCH(B36,'Player Board'!$B$4:$B$163,0)))</f>
        <v>QB</v>
      </c>
      <c r="D36">
        <f>IF(B36="","",INDEX('Player Board'!$D$4:$D$163,MATCH(B36,'Player Board'!$B$4:$B$163,0)))</f>
        <v>25</v>
      </c>
      <c r="E36">
        <f>IF(B36="","",INDEX('Player Board'!$H$4:$H$163,MATCH(B36,'Player Board'!$B$4:$B$163,0)))</f>
        <v>92</v>
      </c>
      <c r="F36">
        <f>IF(B36="","",INDEX('Player Board'!$F$4:$F$163,MATCH(B36,'Player Board'!$B$4:$B$163,0)))</f>
        <v>7</v>
      </c>
      <c r="G36" t="str">
        <f>IF(B36="","",INDEX('Player Board'!$P$4:$P$163,MATCH(B36,'Player Board'!$B$4:$B$163,0)))</f>
        <v>No</v>
      </c>
      <c r="H36" t="str">
        <f>IF(B36="","",INDEX('Player Board'!$M$4:$M$163,MATCH(B36,'Player Board'!$B$4:$B$163,0)))</f>
        <v>Late</v>
      </c>
      <c r="I36">
        <f>IF(B36="","",INDEX('Player Board'!$G$4:$G$163,MATCH(B36,'Player Board'!$B$4:$B$163,0)))</f>
        <v>89</v>
      </c>
      <c r="J36" s="1" t="str">
        <f>IF(B36="","",INDEX('Player Board'!$N$4:$N$163,MATCH(B36,'Player Board'!$B$4:$B$163,0)))</f>
        <v>Eight-team quarterback depth compresses non-elite QB value versus standard 12-team superflex.</v>
      </c>
      <c r="K36">
        <f>IF(B36="","",IFERROR(INDEX('Player Board'!$Q$4:$Q$163,MATCH(B36,'Player Board'!$B$4:$B$163,0)),""))</f>
        <v>32</v>
      </c>
      <c r="L36">
        <f t="shared" si="0"/>
        <v>-60</v>
      </c>
    </row>
    <row r="37" spans="1:12" ht="40.5">
      <c r="A37">
        <f>IFERROR(SMALL('Player Board'!$O$4:$O$163,33),"")</f>
        <v>93</v>
      </c>
      <c r="B37" t="str">
        <f>IF(OR(A37="",A37=9999),"",INDEX('Player Board'!$B$4:$B$163,MATCH(A37,'Player Board'!$H$4:$H$163,0)))</f>
        <v>Alec Pierce</v>
      </c>
      <c r="C37" t="str">
        <f>IF(B37="","",INDEX('Player Board'!$C$4:$C$163,MATCH(B37,'Player Board'!$B$4:$B$163,0)))</f>
        <v>WR</v>
      </c>
      <c r="D37">
        <f>IF(B37="","",INDEX('Player Board'!$D$4:$D$163,MATCH(B37,'Player Board'!$B$4:$B$163,0)))</f>
        <v>35</v>
      </c>
      <c r="E37">
        <f>IF(B37="","",INDEX('Player Board'!$H$4:$H$163,MATCH(B37,'Player Board'!$B$4:$B$163,0)))</f>
        <v>93</v>
      </c>
      <c r="F37">
        <f>IF(B37="","",INDEX('Player Board'!$F$4:$F$163,MATCH(B37,'Player Board'!$B$4:$B$163,0)))</f>
        <v>7</v>
      </c>
      <c r="G37" t="str">
        <f>IF(B37="","",INDEX('Player Board'!$P$4:$P$163,MATCH(B37,'Player Board'!$B$4:$B$163,0)))</f>
        <v>No</v>
      </c>
      <c r="H37" t="str">
        <f>IF(B37="","",INDEX('Player Board'!$M$4:$M$163,MATCH(B37,'Player Board'!$B$4:$B$163,0)))</f>
        <v>Late</v>
      </c>
      <c r="I37">
        <f>IF(B37="","",INDEX('Player Board'!$G$4:$G$163,MATCH(B37,'Player Board'!$B$4:$B$163,0)))</f>
        <v>90</v>
      </c>
      <c r="J37" s="1" t="str">
        <f>IF(B37="","",INDEX('Player Board'!$N$4:$N$163,MATCH(B37,'Player Board'!$B$4:$B$163,0)))</f>
        <v>Near KTC after adjusting for six keepers, taxi value, role security, and eight-team replacement depth.</v>
      </c>
      <c r="K37">
        <f>IF(B37="","",IFERROR(INDEX('Player Board'!$Q$4:$Q$163,MATCH(B37,'Player Board'!$B$4:$B$163,0)),""))</f>
        <v>33</v>
      </c>
      <c r="L37">
        <f t="shared" ref="L37:L68" si="1">IF(OR(E37="",K37=""),"",K37-E37)</f>
        <v>-60</v>
      </c>
    </row>
    <row r="38" spans="1:12" ht="40.5">
      <c r="A38">
        <f>IFERROR(SMALL('Player Board'!$O$4:$O$163,34),"")</f>
        <v>94</v>
      </c>
      <c r="B38" t="str">
        <f>IF(OR(A38="",A38=9999),"",INDEX('Player Board'!$B$4:$B$163,MATCH(A38,'Player Board'!$H$4:$H$163,0)))</f>
        <v>Matthew Stafford</v>
      </c>
      <c r="C38" t="str">
        <f>IF(B38="","",INDEX('Player Board'!$C$4:$C$163,MATCH(B38,'Player Board'!$B$4:$B$163,0)))</f>
        <v>QB</v>
      </c>
      <c r="D38">
        <f>IF(B38="","",INDEX('Player Board'!$D$4:$D$163,MATCH(B38,'Player Board'!$B$4:$B$163,0)))</f>
        <v>26</v>
      </c>
      <c r="E38">
        <f>IF(B38="","",INDEX('Player Board'!$H$4:$H$163,MATCH(B38,'Player Board'!$B$4:$B$163,0)))</f>
        <v>94</v>
      </c>
      <c r="F38">
        <f>IF(B38="","",INDEX('Player Board'!$F$4:$F$163,MATCH(B38,'Player Board'!$B$4:$B$163,0)))</f>
        <v>7</v>
      </c>
      <c r="G38" t="str">
        <f>IF(B38="","",INDEX('Player Board'!$P$4:$P$163,MATCH(B38,'Player Board'!$B$4:$B$163,0)))</f>
        <v>No</v>
      </c>
      <c r="H38" t="str">
        <f>IF(B38="","",INDEX('Player Board'!$M$4:$M$163,MATCH(B38,'Player Board'!$B$4:$B$163,0)))</f>
        <v>Late</v>
      </c>
      <c r="I38">
        <f>IF(B38="","",INDEX('Player Board'!$G$4:$G$163,MATCH(B38,'Player Board'!$B$4:$B$163,0)))</f>
        <v>91</v>
      </c>
      <c r="J38" s="1" t="str">
        <f>IF(B38="","",INDEX('Player Board'!$N$4:$N$163,MATCH(B38,'Player Board'!$B$4:$B$163,0)))</f>
        <v>Eight-team quarterback depth compresses non-elite QB value versus standard 12-team superflex.</v>
      </c>
      <c r="K38">
        <f>IF(B38="","",IFERROR(INDEX('Player Board'!$Q$4:$Q$163,MATCH(B38,'Player Board'!$B$4:$B$163,0)),""))</f>
        <v>34</v>
      </c>
      <c r="L38">
        <f t="shared" si="1"/>
        <v>-60</v>
      </c>
    </row>
    <row r="39" spans="1:12" ht="40.5">
      <c r="A39">
        <f>IFERROR(SMALL('Player Board'!$O$4:$O$163,35),"")</f>
        <v>95</v>
      </c>
      <c r="B39" t="str">
        <f>IF(OR(A39="",A39=9999),"",INDEX('Player Board'!$B$4:$B$163,MATCH(A39,'Player Board'!$H$4:$H$163,0)))</f>
        <v>Jordan Addison</v>
      </c>
      <c r="C39" t="str">
        <f>IF(B39="","",INDEX('Player Board'!$C$4:$C$163,MATCH(B39,'Player Board'!$B$4:$B$163,0)))</f>
        <v>WR</v>
      </c>
      <c r="D39">
        <f>IF(B39="","",INDEX('Player Board'!$D$4:$D$163,MATCH(B39,'Player Board'!$B$4:$B$163,0)))</f>
        <v>36</v>
      </c>
      <c r="E39">
        <f>IF(B39="","",INDEX('Player Board'!$H$4:$H$163,MATCH(B39,'Player Board'!$B$4:$B$163,0)))</f>
        <v>95</v>
      </c>
      <c r="F39">
        <f>IF(B39="","",INDEX('Player Board'!$F$4:$F$163,MATCH(B39,'Player Board'!$B$4:$B$163,0)))</f>
        <v>7</v>
      </c>
      <c r="G39" t="str">
        <f>IF(B39="","",INDEX('Player Board'!$P$4:$P$163,MATCH(B39,'Player Board'!$B$4:$B$163,0)))</f>
        <v>No</v>
      </c>
      <c r="H39" t="str">
        <f>IF(B39="","",INDEX('Player Board'!$M$4:$M$163,MATCH(B39,'Player Board'!$B$4:$B$163,0)))</f>
        <v>Late</v>
      </c>
      <c r="I39">
        <f>IF(B39="","",INDEX('Player Board'!$G$4:$G$163,MATCH(B39,'Player Board'!$B$4:$B$163,0)))</f>
        <v>92</v>
      </c>
      <c r="J39" s="1" t="str">
        <f>IF(B39="","",INDEX('Player Board'!$N$4:$N$163,MATCH(B39,'Player Board'!$B$4:$B$163,0)))</f>
        <v>Near KTC after adjusting for six keepers, taxi value, role security, and eight-team replacement depth.</v>
      </c>
      <c r="K39">
        <f>IF(B39="","",IFERROR(INDEX('Player Board'!$Q$4:$Q$163,MATCH(B39,'Player Board'!$B$4:$B$163,0)),""))</f>
        <v>35</v>
      </c>
      <c r="L39">
        <f t="shared" si="1"/>
        <v>-60</v>
      </c>
    </row>
    <row r="40" spans="1:12" ht="40.5">
      <c r="A40">
        <f>IFERROR(SMALL('Player Board'!$O$4:$O$163,36),"")</f>
        <v>96</v>
      </c>
      <c r="B40" t="str">
        <f>IF(OR(A40="",A40=9999),"",INDEX('Player Board'!$B$4:$B$163,MATCH(A40,'Player Board'!$H$4:$H$163,0)))</f>
        <v>Daniel Jones</v>
      </c>
      <c r="C40" t="str">
        <f>IF(B40="","",INDEX('Player Board'!$C$4:$C$163,MATCH(B40,'Player Board'!$B$4:$B$163,0)))</f>
        <v>QB</v>
      </c>
      <c r="D40">
        <f>IF(B40="","",INDEX('Player Board'!$D$4:$D$163,MATCH(B40,'Player Board'!$B$4:$B$163,0)))</f>
        <v>27</v>
      </c>
      <c r="E40">
        <f>IF(B40="","",INDEX('Player Board'!$H$4:$H$163,MATCH(B40,'Player Board'!$B$4:$B$163,0)))</f>
        <v>96</v>
      </c>
      <c r="F40">
        <f>IF(B40="","",INDEX('Player Board'!$F$4:$F$163,MATCH(B40,'Player Board'!$B$4:$B$163,0)))</f>
        <v>7</v>
      </c>
      <c r="G40" t="str">
        <f>IF(B40="","",INDEX('Player Board'!$P$4:$P$163,MATCH(B40,'Player Board'!$B$4:$B$163,0)))</f>
        <v>No</v>
      </c>
      <c r="H40" t="str">
        <f>IF(B40="","",INDEX('Player Board'!$M$4:$M$163,MATCH(B40,'Player Board'!$B$4:$B$163,0)))</f>
        <v>Late</v>
      </c>
      <c r="I40">
        <f>IF(B40="","",INDEX('Player Board'!$G$4:$G$163,MATCH(B40,'Player Board'!$B$4:$B$163,0)))</f>
        <v>93</v>
      </c>
      <c r="J40" s="1" t="str">
        <f>IF(B40="","",INDEX('Player Board'!$N$4:$N$163,MATCH(B40,'Player Board'!$B$4:$B$163,0)))</f>
        <v>Eight-team quarterback depth compresses non-elite QB value versus standard 12-team superflex.</v>
      </c>
      <c r="K40">
        <f>IF(B40="","",IFERROR(INDEX('Player Board'!$Q$4:$Q$163,MATCH(B40,'Player Board'!$B$4:$B$163,0)),""))</f>
        <v>36</v>
      </c>
      <c r="L40">
        <f t="shared" si="1"/>
        <v>-60</v>
      </c>
    </row>
    <row r="41" spans="1:12" ht="40.5">
      <c r="A41">
        <f>IFERROR(SMALL('Player Board'!$O$4:$O$163,37),"")</f>
        <v>97</v>
      </c>
      <c r="B41" t="str">
        <f>IF(OR(A41="",A41=9999),"",INDEX('Player Board'!$B$4:$B$163,MATCH(A41,'Player Board'!$H$4:$H$163,0)))</f>
        <v>D'Andre Swift</v>
      </c>
      <c r="C41" t="str">
        <f>IF(B41="","",INDEX('Player Board'!$C$4:$C$163,MATCH(B41,'Player Board'!$B$4:$B$163,0)))</f>
        <v>RB</v>
      </c>
      <c r="D41">
        <f>IF(B41="","",INDEX('Player Board'!$D$4:$D$163,MATCH(B41,'Player Board'!$B$4:$B$163,0)))</f>
        <v>25</v>
      </c>
      <c r="E41">
        <f>IF(B41="","",INDEX('Player Board'!$H$4:$H$163,MATCH(B41,'Player Board'!$B$4:$B$163,0)))</f>
        <v>97</v>
      </c>
      <c r="F41">
        <f>IF(B41="","",INDEX('Player Board'!$F$4:$F$163,MATCH(B41,'Player Board'!$B$4:$B$163,0)))</f>
        <v>7</v>
      </c>
      <c r="G41" t="str">
        <f>IF(B41="","",INDEX('Player Board'!$P$4:$P$163,MATCH(B41,'Player Board'!$B$4:$B$163,0)))</f>
        <v>No</v>
      </c>
      <c r="H41" t="str">
        <f>IF(B41="","",INDEX('Player Board'!$M$4:$M$163,MATCH(B41,'Player Board'!$B$4:$B$163,0)))</f>
        <v>Late</v>
      </c>
      <c r="I41">
        <f>IF(B41="","",INDEX('Player Board'!$G$4:$G$163,MATCH(B41,'Player Board'!$B$4:$B$163,0)))</f>
        <v>94</v>
      </c>
      <c r="J41" s="1" t="str">
        <f>IF(B41="","",INDEX('Player Board'!$N$4:$N$163,MATCH(B41,'Player Board'!$B$4:$B$163,0)))</f>
        <v>Near KTC after adjusting for six keepers, taxi value, role security, and eight-team replacement depth.</v>
      </c>
      <c r="K41">
        <f>IF(B41="","",IFERROR(INDEX('Player Board'!$Q$4:$Q$163,MATCH(B41,'Player Board'!$B$4:$B$163,0)),""))</f>
        <v>37</v>
      </c>
      <c r="L41">
        <f t="shared" si="1"/>
        <v>-60</v>
      </c>
    </row>
    <row r="42" spans="1:12" ht="40.5">
      <c r="A42">
        <f>IFERROR(SMALL('Player Board'!$O$4:$O$163,38),"")</f>
        <v>98</v>
      </c>
      <c r="B42" t="str">
        <f>IF(OR(A42="",A42=9999),"",INDEX('Player Board'!$B$4:$B$163,MATCH(A42,'Player Board'!$H$4:$H$163,0)))</f>
        <v>Parker Washington</v>
      </c>
      <c r="C42" t="str">
        <f>IF(B42="","",INDEX('Player Board'!$C$4:$C$163,MATCH(B42,'Player Board'!$B$4:$B$163,0)))</f>
        <v>WR</v>
      </c>
      <c r="D42">
        <f>IF(B42="","",INDEX('Player Board'!$D$4:$D$163,MATCH(B42,'Player Board'!$B$4:$B$163,0)))</f>
        <v>37</v>
      </c>
      <c r="E42">
        <f>IF(B42="","",INDEX('Player Board'!$H$4:$H$163,MATCH(B42,'Player Board'!$B$4:$B$163,0)))</f>
        <v>98</v>
      </c>
      <c r="F42">
        <f>IF(B42="","",INDEX('Player Board'!$F$4:$F$163,MATCH(B42,'Player Board'!$B$4:$B$163,0)))</f>
        <v>7</v>
      </c>
      <c r="G42" t="str">
        <f>IF(B42="","",INDEX('Player Board'!$P$4:$P$163,MATCH(B42,'Player Board'!$B$4:$B$163,0)))</f>
        <v>No</v>
      </c>
      <c r="H42" t="str">
        <f>IF(B42="","",INDEX('Player Board'!$M$4:$M$163,MATCH(B42,'Player Board'!$B$4:$B$163,0)))</f>
        <v>Late</v>
      </c>
      <c r="I42">
        <f>IF(B42="","",INDEX('Player Board'!$G$4:$G$163,MATCH(B42,'Player Board'!$B$4:$B$163,0)))</f>
        <v>95</v>
      </c>
      <c r="J42" s="1" t="str">
        <f>IF(B42="","",INDEX('Player Board'!$N$4:$N$163,MATCH(B42,'Player Board'!$B$4:$B$163,0)))</f>
        <v>Near KTC after adjusting for six keepers, taxi value, role security, and eight-team replacement depth.</v>
      </c>
      <c r="K42">
        <f>IF(B42="","",IFERROR(INDEX('Player Board'!$Q$4:$Q$163,MATCH(B42,'Player Board'!$B$4:$B$163,0)),""))</f>
        <v>38</v>
      </c>
      <c r="L42">
        <f t="shared" si="1"/>
        <v>-60</v>
      </c>
    </row>
    <row r="43" spans="1:12" ht="40.5">
      <c r="A43">
        <f>IFERROR(SMALL('Player Board'!$O$4:$O$163,39),"")</f>
        <v>99</v>
      </c>
      <c r="B43" t="str">
        <f>IF(OR(A43="",A43=9999),"",INDEX('Player Board'!$B$4:$B$163,MATCH(A43,'Player Board'!$H$4:$H$163,0)))</f>
        <v>Quentin Johnston</v>
      </c>
      <c r="C43" t="str">
        <f>IF(B43="","",INDEX('Player Board'!$C$4:$C$163,MATCH(B43,'Player Board'!$B$4:$B$163,0)))</f>
        <v>WR</v>
      </c>
      <c r="D43">
        <f>IF(B43="","",INDEX('Player Board'!$D$4:$D$163,MATCH(B43,'Player Board'!$B$4:$B$163,0)))</f>
        <v>38</v>
      </c>
      <c r="E43">
        <f>IF(B43="","",INDEX('Player Board'!$H$4:$H$163,MATCH(B43,'Player Board'!$B$4:$B$163,0)))</f>
        <v>99</v>
      </c>
      <c r="F43">
        <f>IF(B43="","",INDEX('Player Board'!$F$4:$F$163,MATCH(B43,'Player Board'!$B$4:$B$163,0)))</f>
        <v>7</v>
      </c>
      <c r="G43" t="str">
        <f>IF(B43="","",INDEX('Player Board'!$P$4:$P$163,MATCH(B43,'Player Board'!$B$4:$B$163,0)))</f>
        <v>No</v>
      </c>
      <c r="H43" t="str">
        <f>IF(B43="","",INDEX('Player Board'!$M$4:$M$163,MATCH(B43,'Player Board'!$B$4:$B$163,0)))</f>
        <v>Late</v>
      </c>
      <c r="I43">
        <f>IF(B43="","",INDEX('Player Board'!$G$4:$G$163,MATCH(B43,'Player Board'!$B$4:$B$163,0)))</f>
        <v>96</v>
      </c>
      <c r="J43" s="1" t="str">
        <f>IF(B43="","",INDEX('Player Board'!$N$4:$N$163,MATCH(B43,'Player Board'!$B$4:$B$163,0)))</f>
        <v>Near KTC after adjusting for six keepers, taxi value, role security, and eight-team replacement depth.</v>
      </c>
      <c r="K43">
        <f>IF(B43="","",IFERROR(INDEX('Player Board'!$Q$4:$Q$163,MATCH(B43,'Player Board'!$B$4:$B$163,0)),""))</f>
        <v>39</v>
      </c>
      <c r="L43">
        <f t="shared" si="1"/>
        <v>-60</v>
      </c>
    </row>
    <row r="44" spans="1:12" ht="40.5">
      <c r="A44">
        <f>IFERROR(SMALL('Player Board'!$O$4:$O$163,40),"")</f>
        <v>100</v>
      </c>
      <c r="B44" t="str">
        <f>IF(OR(A44="",A44=9999),"",INDEX('Player Board'!$B$4:$B$163,MATCH(A44,'Player Board'!$H$4:$H$163,0)))</f>
        <v>Michael Wilson</v>
      </c>
      <c r="C44" t="str">
        <f>IF(B44="","",INDEX('Player Board'!$C$4:$C$163,MATCH(B44,'Player Board'!$B$4:$B$163,0)))</f>
        <v>WR</v>
      </c>
      <c r="D44">
        <f>IF(B44="","",INDEX('Player Board'!$D$4:$D$163,MATCH(B44,'Player Board'!$B$4:$B$163,0)))</f>
        <v>39</v>
      </c>
      <c r="E44">
        <f>IF(B44="","",INDEX('Player Board'!$H$4:$H$163,MATCH(B44,'Player Board'!$B$4:$B$163,0)))</f>
        <v>100</v>
      </c>
      <c r="F44">
        <f>IF(B44="","",INDEX('Player Board'!$F$4:$F$163,MATCH(B44,'Player Board'!$B$4:$B$163,0)))</f>
        <v>7</v>
      </c>
      <c r="G44" t="str">
        <f>IF(B44="","",INDEX('Player Board'!$P$4:$P$163,MATCH(B44,'Player Board'!$B$4:$B$163,0)))</f>
        <v>No</v>
      </c>
      <c r="H44" t="str">
        <f>IF(B44="","",INDEX('Player Board'!$M$4:$M$163,MATCH(B44,'Player Board'!$B$4:$B$163,0)))</f>
        <v>Late</v>
      </c>
      <c r="I44">
        <f>IF(B44="","",INDEX('Player Board'!$G$4:$G$163,MATCH(B44,'Player Board'!$B$4:$B$163,0)))</f>
        <v>98</v>
      </c>
      <c r="J44" s="1" t="str">
        <f>IF(B44="","",INDEX('Player Board'!$N$4:$N$163,MATCH(B44,'Player Board'!$B$4:$B$163,0)))</f>
        <v>Near KTC after adjusting for six keepers, taxi value, role security, and eight-team replacement depth.</v>
      </c>
      <c r="K44">
        <f>IF(B44="","",IFERROR(INDEX('Player Board'!$Q$4:$Q$163,MATCH(B44,'Player Board'!$B$4:$B$163,0)),""))</f>
        <v>40</v>
      </c>
      <c r="L44">
        <f t="shared" si="1"/>
        <v>-60</v>
      </c>
    </row>
    <row r="45" spans="1:12" ht="40.5">
      <c r="A45">
        <f>IFERROR(SMALL('Player Board'!$O$4:$O$163,41),"")</f>
        <v>101</v>
      </c>
      <c r="B45" t="str">
        <f>IF(OR(A45="",A45=9999),"",INDEX('Player Board'!$B$4:$B$163,MATCH(A45,'Player Board'!$H$4:$H$163,0)))</f>
        <v>Omar Cooper Jr.</v>
      </c>
      <c r="C45" t="str">
        <f>IF(B45="","",INDEX('Player Board'!$C$4:$C$163,MATCH(B45,'Player Board'!$B$4:$B$163,0)))</f>
        <v>WR</v>
      </c>
      <c r="D45">
        <f>IF(B45="","",INDEX('Player Board'!$D$4:$D$163,MATCH(B45,'Player Board'!$B$4:$B$163,0)))</f>
        <v>40</v>
      </c>
      <c r="E45">
        <f>IF(B45="","",INDEX('Player Board'!$H$4:$H$163,MATCH(B45,'Player Board'!$B$4:$B$163,0)))</f>
        <v>101</v>
      </c>
      <c r="F45">
        <f>IF(B45="","",INDEX('Player Board'!$F$4:$F$163,MATCH(B45,'Player Board'!$B$4:$B$163,0)))</f>
        <v>8</v>
      </c>
      <c r="G45" t="str">
        <f>IF(B45="","",INDEX('Player Board'!$P$4:$P$163,MATCH(B45,'Player Board'!$B$4:$B$163,0)))</f>
        <v>Yes</v>
      </c>
      <c r="H45" t="str">
        <f>IF(B45="","",INDEX('Player Board'!$M$4:$M$163,MATCH(B45,'Player Board'!$B$4:$B$163,0)))</f>
        <v>Late</v>
      </c>
      <c r="I45">
        <f>IF(B45="","",INDEX('Player Board'!$G$4:$G$163,MATCH(B45,'Player Board'!$B$4:$B$163,0)))</f>
        <v>99</v>
      </c>
      <c r="J45" s="1" t="str">
        <f>IF(B45="","",INDEX('Player Board'!$N$4:$N$163,MATCH(B45,'Player Board'!$B$4:$B$163,0)))</f>
        <v>Near KTC after adjusting for six keepers, taxi value, role security, and eight-team replacement depth.</v>
      </c>
      <c r="K45">
        <f>IF(B45="","",IFERROR(INDEX('Player Board'!$Q$4:$Q$163,MATCH(B45,'Player Board'!$B$4:$B$163,0)),""))</f>
        <v>41</v>
      </c>
      <c r="L45">
        <f t="shared" si="1"/>
        <v>-60</v>
      </c>
    </row>
    <row r="46" spans="1:12" ht="40.5">
      <c r="A46">
        <f>IFERROR(SMALL('Player Board'!$O$4:$O$163,42),"")</f>
        <v>102</v>
      </c>
      <c r="B46" t="str">
        <f>IF(OR(A46="",A46=9999),"",INDEX('Player Board'!$B$4:$B$163,MATCH(A46,'Player Board'!$H$4:$H$163,0)))</f>
        <v>Josh Downs</v>
      </c>
      <c r="C46" t="str">
        <f>IF(B46="","",INDEX('Player Board'!$C$4:$C$163,MATCH(B46,'Player Board'!$B$4:$B$163,0)))</f>
        <v>WR</v>
      </c>
      <c r="D46">
        <f>IF(B46="","",INDEX('Player Board'!$D$4:$D$163,MATCH(B46,'Player Board'!$B$4:$B$163,0)))</f>
        <v>41</v>
      </c>
      <c r="E46">
        <f>IF(B46="","",INDEX('Player Board'!$H$4:$H$163,MATCH(B46,'Player Board'!$B$4:$B$163,0)))</f>
        <v>102</v>
      </c>
      <c r="F46">
        <f>IF(B46="","",INDEX('Player Board'!$F$4:$F$163,MATCH(B46,'Player Board'!$B$4:$B$163,0)))</f>
        <v>8</v>
      </c>
      <c r="G46" t="str">
        <f>IF(B46="","",INDEX('Player Board'!$P$4:$P$163,MATCH(B46,'Player Board'!$B$4:$B$163,0)))</f>
        <v>No</v>
      </c>
      <c r="H46" t="str">
        <f>IF(B46="","",INDEX('Player Board'!$M$4:$M$163,MATCH(B46,'Player Board'!$B$4:$B$163,0)))</f>
        <v>Late</v>
      </c>
      <c r="I46">
        <f>IF(B46="","",INDEX('Player Board'!$G$4:$G$163,MATCH(B46,'Player Board'!$B$4:$B$163,0)))</f>
        <v>100</v>
      </c>
      <c r="J46" s="1" t="str">
        <f>IF(B46="","",INDEX('Player Board'!$N$4:$N$163,MATCH(B46,'Player Board'!$B$4:$B$163,0)))</f>
        <v>Near KTC after adjusting for six keepers, taxi value, role security, and eight-team replacement depth.</v>
      </c>
      <c r="K46">
        <f>IF(B46="","",IFERROR(INDEX('Player Board'!$Q$4:$Q$163,MATCH(B46,'Player Board'!$B$4:$B$163,0)),""))</f>
        <v>42</v>
      </c>
      <c r="L46">
        <f t="shared" si="1"/>
        <v>-60</v>
      </c>
    </row>
    <row r="47" spans="1:12" ht="40.5">
      <c r="A47">
        <f>IFERROR(SMALL('Player Board'!$O$4:$O$163,43),"")</f>
        <v>103</v>
      </c>
      <c r="B47" t="str">
        <f>IF(OR(A47="",A47=9999),"",INDEX('Player Board'!$B$4:$B$163,MATCH(A47,'Player Board'!$H$4:$H$163,0)))</f>
        <v>D.J. Moore</v>
      </c>
      <c r="C47" t="str">
        <f>IF(B47="","",INDEX('Player Board'!$C$4:$C$163,MATCH(B47,'Player Board'!$B$4:$B$163,0)))</f>
        <v>WR</v>
      </c>
      <c r="D47">
        <f>IF(B47="","",INDEX('Player Board'!$D$4:$D$163,MATCH(B47,'Player Board'!$B$4:$B$163,0)))</f>
        <v>42</v>
      </c>
      <c r="E47">
        <f>IF(B47="","",INDEX('Player Board'!$H$4:$H$163,MATCH(B47,'Player Board'!$B$4:$B$163,0)))</f>
        <v>103</v>
      </c>
      <c r="F47">
        <f>IF(B47="","",INDEX('Player Board'!$F$4:$F$163,MATCH(B47,'Player Board'!$B$4:$B$163,0)))</f>
        <v>8</v>
      </c>
      <c r="G47" t="str">
        <f>IF(B47="","",INDEX('Player Board'!$P$4:$P$163,MATCH(B47,'Player Board'!$B$4:$B$163,0)))</f>
        <v>No</v>
      </c>
      <c r="H47" t="str">
        <f>IF(B47="","",INDEX('Player Board'!$M$4:$M$163,MATCH(B47,'Player Board'!$B$4:$B$163,0)))</f>
        <v>Late</v>
      </c>
      <c r="I47">
        <f>IF(B47="","",INDEX('Player Board'!$G$4:$G$163,MATCH(B47,'Player Board'!$B$4:$B$163,0)))</f>
        <v>101</v>
      </c>
      <c r="J47" s="1" t="str">
        <f>IF(B47="","",INDEX('Player Board'!$N$4:$N$163,MATCH(B47,'Player Board'!$B$4:$B$163,0)))</f>
        <v>Near KTC after adjusting for six keepers, taxi value, role security, and eight-team replacement depth.</v>
      </c>
      <c r="K47">
        <f>IF(B47="","",IFERROR(INDEX('Player Board'!$Q$4:$Q$163,MATCH(B47,'Player Board'!$B$4:$B$163,0)),""))</f>
        <v>43</v>
      </c>
      <c r="L47">
        <f t="shared" si="1"/>
        <v>-60</v>
      </c>
    </row>
    <row r="48" spans="1:12" ht="40.5">
      <c r="A48">
        <f>IFERROR(SMALL('Player Board'!$O$4:$O$163,44),"")</f>
        <v>104</v>
      </c>
      <c r="B48" t="str">
        <f>IF(OR(A48="",A48=9999),"",INDEX('Player Board'!$B$4:$B$163,MATCH(A48,'Player Board'!$H$4:$H$163,0)))</f>
        <v>Oronde Gadsden II</v>
      </c>
      <c r="C48" t="str">
        <f>IF(B48="","",INDEX('Player Board'!$C$4:$C$163,MATCH(B48,'Player Board'!$B$4:$B$163,0)))</f>
        <v>TE</v>
      </c>
      <c r="D48">
        <f>IF(B48="","",INDEX('Player Board'!$D$4:$D$163,MATCH(B48,'Player Board'!$B$4:$B$163,0)))</f>
        <v>10</v>
      </c>
      <c r="E48">
        <f>IF(B48="","",INDEX('Player Board'!$H$4:$H$163,MATCH(B48,'Player Board'!$B$4:$B$163,0)))</f>
        <v>104</v>
      </c>
      <c r="F48">
        <f>IF(B48="","",INDEX('Player Board'!$F$4:$F$163,MATCH(B48,'Player Board'!$B$4:$B$163,0)))</f>
        <v>8</v>
      </c>
      <c r="G48" t="str">
        <f>IF(B48="","",INDEX('Player Board'!$P$4:$P$163,MATCH(B48,'Player Board'!$B$4:$B$163,0)))</f>
        <v>No</v>
      </c>
      <c r="H48" t="str">
        <f>IF(B48="","",INDEX('Player Board'!$M$4:$M$163,MATCH(B48,'Player Board'!$B$4:$B$163,0)))</f>
        <v>Late</v>
      </c>
      <c r="I48">
        <f>IF(B48="","",INDEX('Player Board'!$G$4:$G$163,MATCH(B48,'Player Board'!$B$4:$B$163,0)))</f>
        <v>102</v>
      </c>
      <c r="J48" s="1" t="str">
        <f>IF(B48="","",INDEX('Player Board'!$N$4:$N$163,MATCH(B48,'Player Board'!$B$4:$B$163,0)))</f>
        <v>No TEP and shallow replacement depth require real weekly separation before paying a major premium.</v>
      </c>
      <c r="K48">
        <f>IF(B48="","",IFERROR(INDEX('Player Board'!$Q$4:$Q$163,MATCH(B48,'Player Board'!$B$4:$B$163,0)),""))</f>
        <v>44</v>
      </c>
      <c r="L48">
        <f t="shared" si="1"/>
        <v>-60</v>
      </c>
    </row>
    <row r="49" spans="1:12" ht="40.5">
      <c r="A49">
        <f>IFERROR(SMALL('Player Board'!$O$4:$O$163,45),"")</f>
        <v>106</v>
      </c>
      <c r="B49" t="str">
        <f>IF(OR(A49="",A49=9999),"",INDEX('Player Board'!$B$4:$B$163,MATCH(A49,'Player Board'!$H$4:$H$163,0)))</f>
        <v>Ricky Pearsall</v>
      </c>
      <c r="C49" t="str">
        <f>IF(B49="","",INDEX('Player Board'!$C$4:$C$163,MATCH(B49,'Player Board'!$B$4:$B$163,0)))</f>
        <v>WR</v>
      </c>
      <c r="D49">
        <f>IF(B49="","",INDEX('Player Board'!$D$4:$D$163,MATCH(B49,'Player Board'!$B$4:$B$163,0)))</f>
        <v>44</v>
      </c>
      <c r="E49">
        <f>IF(B49="","",INDEX('Player Board'!$H$4:$H$163,MATCH(B49,'Player Board'!$B$4:$B$163,0)))</f>
        <v>106</v>
      </c>
      <c r="F49">
        <f>IF(B49="","",INDEX('Player Board'!$F$4:$F$163,MATCH(B49,'Player Board'!$B$4:$B$163,0)))</f>
        <v>8</v>
      </c>
      <c r="G49" t="str">
        <f>IF(B49="","",INDEX('Player Board'!$P$4:$P$163,MATCH(B49,'Player Board'!$B$4:$B$163,0)))</f>
        <v>No</v>
      </c>
      <c r="H49" t="str">
        <f>IF(B49="","",INDEX('Player Board'!$M$4:$M$163,MATCH(B49,'Player Board'!$B$4:$B$163,0)))</f>
        <v>Late</v>
      </c>
      <c r="I49">
        <f>IF(B49="","",INDEX('Player Board'!$G$4:$G$163,MATCH(B49,'Player Board'!$B$4:$B$163,0)))</f>
        <v>104</v>
      </c>
      <c r="J49" s="1" t="str">
        <f>IF(B49="","",INDEX('Player Board'!$N$4:$N$163,MATCH(B49,'Player Board'!$B$4:$B$163,0)))</f>
        <v>Near KTC after adjusting for six keepers, taxi value, role security, and eight-team replacement depth.</v>
      </c>
      <c r="K49">
        <f>IF(B49="","",IFERROR(INDEX('Player Board'!$Q$4:$Q$163,MATCH(B49,'Player Board'!$B$4:$B$163,0)),""))</f>
        <v>45</v>
      </c>
      <c r="L49">
        <f t="shared" si="1"/>
        <v>-61</v>
      </c>
    </row>
    <row r="50" spans="1:12" ht="40.5">
      <c r="A50">
        <f>IFERROR(SMALL('Player Board'!$O$4:$O$163,46),"")</f>
        <v>107</v>
      </c>
      <c r="B50" t="str">
        <f>IF(OR(A50="",A50=9999),"",INDEX('Player Board'!$B$4:$B$163,MATCH(A50,'Player Board'!$H$4:$H$163,0)))</f>
        <v>Ty Simpson</v>
      </c>
      <c r="C50" t="str">
        <f>IF(B50="","",INDEX('Player Board'!$C$4:$C$163,MATCH(B50,'Player Board'!$B$4:$B$163,0)))</f>
        <v>QB</v>
      </c>
      <c r="D50">
        <f>IF(B50="","",INDEX('Player Board'!$D$4:$D$163,MATCH(B50,'Player Board'!$B$4:$B$163,0)))</f>
        <v>28</v>
      </c>
      <c r="E50">
        <f>IF(B50="","",INDEX('Player Board'!$H$4:$H$163,MATCH(B50,'Player Board'!$B$4:$B$163,0)))</f>
        <v>107</v>
      </c>
      <c r="F50">
        <f>IF(B50="","",INDEX('Player Board'!$F$4:$F$163,MATCH(B50,'Player Board'!$B$4:$B$163,0)))</f>
        <v>8</v>
      </c>
      <c r="G50" t="str">
        <f>IF(B50="","",INDEX('Player Board'!$P$4:$P$163,MATCH(B50,'Player Board'!$B$4:$B$163,0)))</f>
        <v>Yes</v>
      </c>
      <c r="H50" t="str">
        <f>IF(B50="","",INDEX('Player Board'!$M$4:$M$163,MATCH(B50,'Player Board'!$B$4:$B$163,0)))</f>
        <v>Late</v>
      </c>
      <c r="I50">
        <f>IF(B50="","",INDEX('Player Board'!$G$4:$G$163,MATCH(B50,'Player Board'!$B$4:$B$163,0)))</f>
        <v>105</v>
      </c>
      <c r="J50" s="1" t="str">
        <f>IF(B50="","",INDEX('Player Board'!$N$4:$N$163,MATCH(B50,'Player Board'!$B$4:$B$163,0)))</f>
        <v>Eight-team quarterback depth compresses non-elite QB value versus standard 12-team superflex.</v>
      </c>
      <c r="K50">
        <f>IF(B50="","",IFERROR(INDEX('Player Board'!$Q$4:$Q$163,MATCH(B50,'Player Board'!$B$4:$B$163,0)),""))</f>
        <v>46</v>
      </c>
      <c r="L50">
        <f t="shared" si="1"/>
        <v>-61</v>
      </c>
    </row>
    <row r="51" spans="1:12" ht="40.5">
      <c r="A51">
        <f>IFERROR(SMALL('Player Board'!$O$4:$O$163,47),"")</f>
        <v>108</v>
      </c>
      <c r="B51" t="str">
        <f>IF(OR(A51="",A51=9999),"",INDEX('Player Board'!$B$4:$B$163,MATCH(A51,'Player Board'!$H$4:$H$163,0)))</f>
        <v>Denzel Boston</v>
      </c>
      <c r="C51" t="str">
        <f>IF(B51="","",INDEX('Player Board'!$C$4:$C$163,MATCH(B51,'Player Board'!$B$4:$B$163,0)))</f>
        <v>WR</v>
      </c>
      <c r="D51">
        <f>IF(B51="","",INDEX('Player Board'!$D$4:$D$163,MATCH(B51,'Player Board'!$B$4:$B$163,0)))</f>
        <v>45</v>
      </c>
      <c r="E51">
        <f>IF(B51="","",INDEX('Player Board'!$H$4:$H$163,MATCH(B51,'Player Board'!$B$4:$B$163,0)))</f>
        <v>108</v>
      </c>
      <c r="F51">
        <f>IF(B51="","",INDEX('Player Board'!$F$4:$F$163,MATCH(B51,'Player Board'!$B$4:$B$163,0)))</f>
        <v>8</v>
      </c>
      <c r="G51" t="str">
        <f>IF(B51="","",INDEX('Player Board'!$P$4:$P$163,MATCH(B51,'Player Board'!$B$4:$B$163,0)))</f>
        <v>Yes</v>
      </c>
      <c r="H51" t="str">
        <f>IF(B51="","",INDEX('Player Board'!$M$4:$M$163,MATCH(B51,'Player Board'!$B$4:$B$163,0)))</f>
        <v>Late</v>
      </c>
      <c r="I51">
        <f>IF(B51="","",INDEX('Player Board'!$G$4:$G$163,MATCH(B51,'Player Board'!$B$4:$B$163,0)))</f>
        <v>107</v>
      </c>
      <c r="J51" s="1" t="str">
        <f>IF(B51="","",INDEX('Player Board'!$N$4:$N$163,MATCH(B51,'Player Board'!$B$4:$B$163,0)))</f>
        <v>Near KTC after adjusting for six keepers, taxi value, role security, and eight-team replacement depth.</v>
      </c>
      <c r="K51">
        <f>IF(B51="","",IFERROR(INDEX('Player Board'!$Q$4:$Q$163,MATCH(B51,'Player Board'!$B$4:$B$163,0)),""))</f>
        <v>47</v>
      </c>
      <c r="L51">
        <f t="shared" si="1"/>
        <v>-61</v>
      </c>
    </row>
    <row r="52" spans="1:12" ht="40.5">
      <c r="A52">
        <f>IFERROR(SMALL('Player Board'!$O$4:$O$163,48),"")</f>
        <v>109</v>
      </c>
      <c r="B52" t="str">
        <f>IF(OR(A52="",A52=9999),"",INDEX('Player Board'!$B$4:$B$163,MATCH(A52,'Player Board'!$H$4:$H$163,0)))</f>
        <v>David Montgomery</v>
      </c>
      <c r="C52" t="str">
        <f>IF(B52="","",INDEX('Player Board'!$C$4:$C$163,MATCH(B52,'Player Board'!$B$4:$B$163,0)))</f>
        <v>RB</v>
      </c>
      <c r="D52">
        <f>IF(B52="","",INDEX('Player Board'!$D$4:$D$163,MATCH(B52,'Player Board'!$B$4:$B$163,0)))</f>
        <v>26</v>
      </c>
      <c r="E52">
        <f>IF(B52="","",INDEX('Player Board'!$H$4:$H$163,MATCH(B52,'Player Board'!$B$4:$B$163,0)))</f>
        <v>109</v>
      </c>
      <c r="F52">
        <f>IF(B52="","",INDEX('Player Board'!$F$4:$F$163,MATCH(B52,'Player Board'!$B$4:$B$163,0)))</f>
        <v>8</v>
      </c>
      <c r="G52" t="str">
        <f>IF(B52="","",INDEX('Player Board'!$P$4:$P$163,MATCH(B52,'Player Board'!$B$4:$B$163,0)))</f>
        <v>No</v>
      </c>
      <c r="H52" t="str">
        <f>IF(B52="","",INDEX('Player Board'!$M$4:$M$163,MATCH(B52,'Player Board'!$B$4:$B$163,0)))</f>
        <v>Late</v>
      </c>
      <c r="I52">
        <f>IF(B52="","",INDEX('Player Board'!$G$4:$G$163,MATCH(B52,'Player Board'!$B$4:$B$163,0)))</f>
        <v>108</v>
      </c>
      <c r="J52" s="1" t="str">
        <f>IF(B52="","",INDEX('Player Board'!$N$4:$N$163,MATCH(B52,'Player Board'!$B$4:$B$163,0)))</f>
        <v>Near KTC after adjusting for six keepers, taxi value, role security, and eight-team replacement depth.</v>
      </c>
      <c r="K52">
        <f>IF(B52="","",IFERROR(INDEX('Player Board'!$Q$4:$Q$163,MATCH(B52,'Player Board'!$B$4:$B$163,0)),""))</f>
        <v>48</v>
      </c>
      <c r="L52">
        <f t="shared" si="1"/>
        <v>-61</v>
      </c>
    </row>
    <row r="53" spans="1:12" ht="40.5">
      <c r="A53">
        <f>IFERROR(SMALL('Player Board'!$O$4:$O$163,49),"")</f>
        <v>110</v>
      </c>
      <c r="B53" t="str">
        <f>IF(OR(A53="",A53=9999),"",INDEX('Player Board'!$B$4:$B$163,MATCH(A53,'Player Board'!$H$4:$H$163,0)))</f>
        <v>Kenyon Sadiq</v>
      </c>
      <c r="C53" t="str">
        <f>IF(B53="","",INDEX('Player Board'!$C$4:$C$163,MATCH(B53,'Player Board'!$B$4:$B$163,0)))</f>
        <v>TE</v>
      </c>
      <c r="D53">
        <f>IF(B53="","",INDEX('Player Board'!$D$4:$D$163,MATCH(B53,'Player Board'!$B$4:$B$163,0)))</f>
        <v>11</v>
      </c>
      <c r="E53">
        <f>IF(B53="","",INDEX('Player Board'!$H$4:$H$163,MATCH(B53,'Player Board'!$B$4:$B$163,0)))</f>
        <v>110</v>
      </c>
      <c r="F53">
        <f>IF(B53="","",INDEX('Player Board'!$F$4:$F$163,MATCH(B53,'Player Board'!$B$4:$B$163,0)))</f>
        <v>8</v>
      </c>
      <c r="G53" t="str">
        <f>IF(B53="","",INDEX('Player Board'!$P$4:$P$163,MATCH(B53,'Player Board'!$B$4:$B$163,0)))</f>
        <v>Yes</v>
      </c>
      <c r="H53" t="str">
        <f>IF(B53="","",INDEX('Player Board'!$M$4:$M$163,MATCH(B53,'Player Board'!$B$4:$B$163,0)))</f>
        <v>Late</v>
      </c>
      <c r="I53">
        <f>IF(B53="","",INDEX('Player Board'!$G$4:$G$163,MATCH(B53,'Player Board'!$B$4:$B$163,0)))</f>
        <v>93</v>
      </c>
      <c r="J53" s="1" t="str">
        <f>IF(B53="","",INDEX('Player Board'!$N$4:$N$163,MATCH(B53,'Player Board'!$B$4:$B$163,0)))</f>
        <v>Developmental rookie TE with no TEP; taxi value is not enough to outweigh a long path to weekly separation.</v>
      </c>
      <c r="K53">
        <f>IF(B53="","",IFERROR(INDEX('Player Board'!$Q$4:$Q$163,MATCH(B53,'Player Board'!$B$4:$B$163,0)),""))</f>
        <v>49</v>
      </c>
      <c r="L53">
        <f t="shared" si="1"/>
        <v>-61</v>
      </c>
    </row>
    <row r="54" spans="1:12" ht="40.5">
      <c r="A54">
        <f>IFERROR(SMALL('Player Board'!$O$4:$O$163,50),"")</f>
        <v>111</v>
      </c>
      <c r="B54" t="str">
        <f>IF(OR(A54="",A54=9999),"",INDEX('Player Board'!$B$4:$B$163,MATCH(A54,'Player Board'!$H$4:$H$163,0)))</f>
        <v>Kyle Monangai</v>
      </c>
      <c r="C54" t="str">
        <f>IF(B54="","",INDEX('Player Board'!$C$4:$C$163,MATCH(B54,'Player Board'!$B$4:$B$163,0)))</f>
        <v>RB</v>
      </c>
      <c r="D54">
        <f>IF(B54="","",INDEX('Player Board'!$D$4:$D$163,MATCH(B54,'Player Board'!$B$4:$B$163,0)))</f>
        <v>27</v>
      </c>
      <c r="E54">
        <f>IF(B54="","",INDEX('Player Board'!$H$4:$H$163,MATCH(B54,'Player Board'!$B$4:$B$163,0)))</f>
        <v>111</v>
      </c>
      <c r="F54">
        <f>IF(B54="","",INDEX('Player Board'!$F$4:$F$163,MATCH(B54,'Player Board'!$B$4:$B$163,0)))</f>
        <v>8</v>
      </c>
      <c r="G54" t="str">
        <f>IF(B54="","",INDEX('Player Board'!$P$4:$P$163,MATCH(B54,'Player Board'!$B$4:$B$163,0)))</f>
        <v>No</v>
      </c>
      <c r="H54" t="str">
        <f>IF(B54="","",INDEX('Player Board'!$M$4:$M$163,MATCH(B54,'Player Board'!$B$4:$B$163,0)))</f>
        <v>Late</v>
      </c>
      <c r="I54">
        <f>IF(B54="","",INDEX('Player Board'!$G$4:$G$163,MATCH(B54,'Player Board'!$B$4:$B$163,0)))</f>
        <v>109</v>
      </c>
      <c r="J54" s="1" t="str">
        <f>IF(B54="","",INDEX('Player Board'!$N$4:$N$163,MATCH(B54,'Player Board'!$B$4:$B$163,0)))</f>
        <v>Near KTC after adjusting for six keepers, taxi value, role security, and eight-team replacement depth.</v>
      </c>
      <c r="K54">
        <f>IF(B54="","",IFERROR(INDEX('Player Board'!$Q$4:$Q$163,MATCH(B54,'Player Board'!$B$4:$B$163,0)),""))</f>
        <v>50</v>
      </c>
      <c r="L54">
        <f t="shared" si="1"/>
        <v>-61</v>
      </c>
    </row>
    <row r="55" spans="1:12" ht="40.5">
      <c r="A55">
        <f>IFERROR(SMALL('Player Board'!$O$4:$O$163,51),"")</f>
        <v>112</v>
      </c>
      <c r="B55" t="str">
        <f>IF(OR(A55="",A55=9999),"",INDEX('Player Board'!$B$4:$B$163,MATCH(A55,'Player Board'!$H$4:$H$163,0)))</f>
        <v>DK Metcalf</v>
      </c>
      <c r="C55" t="str">
        <f>IF(B55="","",INDEX('Player Board'!$C$4:$C$163,MATCH(B55,'Player Board'!$B$4:$B$163,0)))</f>
        <v>WR</v>
      </c>
      <c r="D55">
        <f>IF(B55="","",INDEX('Player Board'!$D$4:$D$163,MATCH(B55,'Player Board'!$B$4:$B$163,0)))</f>
        <v>46</v>
      </c>
      <c r="E55">
        <f>IF(B55="","",INDEX('Player Board'!$H$4:$H$163,MATCH(B55,'Player Board'!$B$4:$B$163,0)))</f>
        <v>112</v>
      </c>
      <c r="F55">
        <f>IF(B55="","",INDEX('Player Board'!$F$4:$F$163,MATCH(B55,'Player Board'!$B$4:$B$163,0)))</f>
        <v>8</v>
      </c>
      <c r="G55" t="str">
        <f>IF(B55="","",INDEX('Player Board'!$P$4:$P$163,MATCH(B55,'Player Board'!$B$4:$B$163,0)))</f>
        <v>No</v>
      </c>
      <c r="H55" t="str">
        <f>IF(B55="","",INDEX('Player Board'!$M$4:$M$163,MATCH(B55,'Player Board'!$B$4:$B$163,0)))</f>
        <v>Late</v>
      </c>
      <c r="I55">
        <f>IF(B55="","",INDEX('Player Board'!$G$4:$G$163,MATCH(B55,'Player Board'!$B$4:$B$163,0)))</f>
        <v>110</v>
      </c>
      <c r="J55" s="1" t="str">
        <f>IF(B55="","",INDEX('Player Board'!$N$4:$N$163,MATCH(B55,'Player Board'!$B$4:$B$163,0)))</f>
        <v>Near KTC after adjusting for six keepers, taxi value, role security, and eight-team replacement depth.</v>
      </c>
      <c r="K55">
        <f>IF(B55="","",IFERROR(INDEX('Player Board'!$Q$4:$Q$163,MATCH(B55,'Player Board'!$B$4:$B$163,0)),""))</f>
        <v>51</v>
      </c>
      <c r="L55">
        <f t="shared" si="1"/>
        <v>-61</v>
      </c>
    </row>
    <row r="56" spans="1:12" ht="40.5">
      <c r="A56">
        <f>IFERROR(SMALL('Player Board'!$O$4:$O$163,52),"")</f>
        <v>113</v>
      </c>
      <c r="B56" t="str">
        <f>IF(OR(A56="",A56=9999),"",INDEX('Player Board'!$B$4:$B$163,MATCH(A56,'Player Board'!$H$4:$H$163,0)))</f>
        <v>Isaiah Likely</v>
      </c>
      <c r="C56" t="str">
        <f>IF(B56="","",INDEX('Player Board'!$C$4:$C$163,MATCH(B56,'Player Board'!$B$4:$B$163,0)))</f>
        <v>TE</v>
      </c>
      <c r="D56">
        <f>IF(B56="","",INDEX('Player Board'!$D$4:$D$163,MATCH(B56,'Player Board'!$B$4:$B$163,0)))</f>
        <v>12</v>
      </c>
      <c r="E56">
        <f>IF(B56="","",INDEX('Player Board'!$H$4:$H$163,MATCH(B56,'Player Board'!$B$4:$B$163,0)))</f>
        <v>113</v>
      </c>
      <c r="F56">
        <f>IF(B56="","",INDEX('Player Board'!$F$4:$F$163,MATCH(B56,'Player Board'!$B$4:$B$163,0)))</f>
        <v>8</v>
      </c>
      <c r="G56" t="str">
        <f>IF(B56="","",INDEX('Player Board'!$P$4:$P$163,MATCH(B56,'Player Board'!$B$4:$B$163,0)))</f>
        <v>No</v>
      </c>
      <c r="H56" t="str">
        <f>IF(B56="","",INDEX('Player Board'!$M$4:$M$163,MATCH(B56,'Player Board'!$B$4:$B$163,0)))</f>
        <v>Late</v>
      </c>
      <c r="I56">
        <f>IF(B56="","",INDEX('Player Board'!$G$4:$G$163,MATCH(B56,'Player Board'!$B$4:$B$163,0)))</f>
        <v>111</v>
      </c>
      <c r="J56" s="1" t="str">
        <f>IF(B56="","",INDEX('Player Board'!$N$4:$N$163,MATCH(B56,'Player Board'!$B$4:$B$163,0)))</f>
        <v>No TEP and shallow replacement depth require real weekly separation before paying a major premium.</v>
      </c>
      <c r="K56">
        <f>IF(B56="","",IFERROR(INDEX('Player Board'!$Q$4:$Q$163,MATCH(B56,'Player Board'!$B$4:$B$163,0)),""))</f>
        <v>52</v>
      </c>
      <c r="L56">
        <f t="shared" si="1"/>
        <v>-61</v>
      </c>
    </row>
    <row r="57" spans="1:12" ht="40.5">
      <c r="A57">
        <f>IFERROR(SMALL('Player Board'!$O$4:$O$163,53),"")</f>
        <v>114</v>
      </c>
      <c r="B57" t="str">
        <f>IF(OR(A57="",A57=9999),"",INDEX('Player Board'!$B$4:$B$163,MATCH(A57,'Player Board'!$H$4:$H$163,0)))</f>
        <v>Wan'Dale Robinson</v>
      </c>
      <c r="C57" t="str">
        <f>IF(B57="","",INDEX('Player Board'!$C$4:$C$163,MATCH(B57,'Player Board'!$B$4:$B$163,0)))</f>
        <v>WR</v>
      </c>
      <c r="D57">
        <f>IF(B57="","",INDEX('Player Board'!$D$4:$D$163,MATCH(B57,'Player Board'!$B$4:$B$163,0)))</f>
        <v>47</v>
      </c>
      <c r="E57">
        <f>IF(B57="","",INDEX('Player Board'!$H$4:$H$163,MATCH(B57,'Player Board'!$B$4:$B$163,0)))</f>
        <v>114</v>
      </c>
      <c r="F57">
        <f>IF(B57="","",INDEX('Player Board'!$F$4:$F$163,MATCH(B57,'Player Board'!$B$4:$B$163,0)))</f>
        <v>8</v>
      </c>
      <c r="G57" t="str">
        <f>IF(B57="","",INDEX('Player Board'!$P$4:$P$163,MATCH(B57,'Player Board'!$B$4:$B$163,0)))</f>
        <v>No</v>
      </c>
      <c r="H57" t="str">
        <f>IF(B57="","",INDEX('Player Board'!$M$4:$M$163,MATCH(B57,'Player Board'!$B$4:$B$163,0)))</f>
        <v>Late</v>
      </c>
      <c r="I57">
        <f>IF(B57="","",INDEX('Player Board'!$G$4:$G$163,MATCH(B57,'Player Board'!$B$4:$B$163,0)))</f>
        <v>112</v>
      </c>
      <c r="J57" s="1" t="str">
        <f>IF(B57="","",INDEX('Player Board'!$N$4:$N$163,MATCH(B57,'Player Board'!$B$4:$B$163,0)))</f>
        <v>Near KTC after adjusting for six keepers, taxi value, role security, and eight-team replacement depth.</v>
      </c>
      <c r="K57">
        <f>IF(B57="","",IFERROR(INDEX('Player Board'!$Q$4:$Q$163,MATCH(B57,'Player Board'!$B$4:$B$163,0)),""))</f>
        <v>53</v>
      </c>
      <c r="L57">
        <f t="shared" si="1"/>
        <v>-61</v>
      </c>
    </row>
    <row r="58" spans="1:12" ht="40.5">
      <c r="A58">
        <f>IFERROR(SMALL('Player Board'!$O$4:$O$163,54),"")</f>
        <v>115</v>
      </c>
      <c r="B58" t="str">
        <f>IF(OR(A58="",A58=9999),"",INDEX('Player Board'!$B$4:$B$163,MATCH(A58,'Player Board'!$H$4:$H$163,0)))</f>
        <v>Eli Stowers</v>
      </c>
      <c r="C58" t="str">
        <f>IF(B58="","",INDEX('Player Board'!$C$4:$C$163,MATCH(B58,'Player Board'!$B$4:$B$163,0)))</f>
        <v>TE</v>
      </c>
      <c r="D58">
        <f>IF(B58="","",INDEX('Player Board'!$D$4:$D$163,MATCH(B58,'Player Board'!$B$4:$B$163,0)))</f>
        <v>13</v>
      </c>
      <c r="E58">
        <f>IF(B58="","",INDEX('Player Board'!$H$4:$H$163,MATCH(B58,'Player Board'!$B$4:$B$163,0)))</f>
        <v>115</v>
      </c>
      <c r="F58">
        <f>IF(B58="","",INDEX('Player Board'!$F$4:$F$163,MATCH(B58,'Player Board'!$B$4:$B$163,0)))</f>
        <v>8</v>
      </c>
      <c r="G58" t="str">
        <f>IF(B58="","",INDEX('Player Board'!$P$4:$P$163,MATCH(B58,'Player Board'!$B$4:$B$163,0)))</f>
        <v>Yes</v>
      </c>
      <c r="H58" t="str">
        <f>IF(B58="","",INDEX('Player Board'!$M$4:$M$163,MATCH(B58,'Player Board'!$B$4:$B$163,0)))</f>
        <v>Late</v>
      </c>
      <c r="I58">
        <f>IF(B58="","",INDEX('Player Board'!$G$4:$G$163,MATCH(B58,'Player Board'!$B$4:$B$163,0)))</f>
        <v>113</v>
      </c>
      <c r="J58" s="1" t="str">
        <f>IF(B58="","",INDEX('Player Board'!$N$4:$N$163,MATCH(B58,'Player Board'!$B$4:$B$163,0)))</f>
        <v>No TEP and shallow replacement depth require real weekly separation before paying a major premium.</v>
      </c>
      <c r="K58">
        <f>IF(B58="","",IFERROR(INDEX('Player Board'!$Q$4:$Q$163,MATCH(B58,'Player Board'!$B$4:$B$163,0)),""))</f>
        <v>54</v>
      </c>
      <c r="L58">
        <f t="shared" si="1"/>
        <v>-61</v>
      </c>
    </row>
    <row r="59" spans="1:12" ht="40.5">
      <c r="A59">
        <f>IFERROR(SMALL('Player Board'!$O$4:$O$163,55),"")</f>
        <v>116</v>
      </c>
      <c r="B59" t="str">
        <f>IF(OR(A59="",A59=9999),"",INDEX('Player Board'!$B$4:$B$163,MATCH(A59,'Player Board'!$H$4:$H$163,0)))</f>
        <v>Michael Pittman Jr.</v>
      </c>
      <c r="C59" t="str">
        <f>IF(B59="","",INDEX('Player Board'!$C$4:$C$163,MATCH(B59,'Player Board'!$B$4:$B$163,0)))</f>
        <v>WR</v>
      </c>
      <c r="D59">
        <f>IF(B59="","",INDEX('Player Board'!$D$4:$D$163,MATCH(B59,'Player Board'!$B$4:$B$163,0)))</f>
        <v>48</v>
      </c>
      <c r="E59">
        <f>IF(B59="","",INDEX('Player Board'!$H$4:$H$163,MATCH(B59,'Player Board'!$B$4:$B$163,0)))</f>
        <v>116</v>
      </c>
      <c r="F59">
        <f>IF(B59="","",INDEX('Player Board'!$F$4:$F$163,MATCH(B59,'Player Board'!$B$4:$B$163,0)))</f>
        <v>8</v>
      </c>
      <c r="G59" t="str">
        <f>IF(B59="","",INDEX('Player Board'!$P$4:$P$163,MATCH(B59,'Player Board'!$B$4:$B$163,0)))</f>
        <v>No</v>
      </c>
      <c r="H59" t="str">
        <f>IF(B59="","",INDEX('Player Board'!$M$4:$M$163,MATCH(B59,'Player Board'!$B$4:$B$163,0)))</f>
        <v>Late</v>
      </c>
      <c r="I59">
        <f>IF(B59="","",INDEX('Player Board'!$G$4:$G$163,MATCH(B59,'Player Board'!$B$4:$B$163,0)))</f>
        <v>114</v>
      </c>
      <c r="J59" s="1" t="str">
        <f>IF(B59="","",INDEX('Player Board'!$N$4:$N$163,MATCH(B59,'Player Board'!$B$4:$B$163,0)))</f>
        <v>Near KTC after adjusting for six keepers, taxi value, role security, and eight-team replacement depth.</v>
      </c>
      <c r="K59">
        <f>IF(B59="","",IFERROR(INDEX('Player Board'!$Q$4:$Q$163,MATCH(B59,'Player Board'!$B$4:$B$163,0)),""))</f>
        <v>55</v>
      </c>
      <c r="L59">
        <f t="shared" si="1"/>
        <v>-61</v>
      </c>
    </row>
    <row r="60" spans="1:12" ht="40.5">
      <c r="A60">
        <f>IFERROR(SMALL('Player Board'!$O$4:$O$163,56),"")</f>
        <v>117</v>
      </c>
      <c r="B60" t="str">
        <f>IF(OR(A60="",A60=9999),"",INDEX('Player Board'!$B$4:$B$163,MATCH(A60,'Player Board'!$H$4:$H$163,0)))</f>
        <v>Jayden Higgins</v>
      </c>
      <c r="C60" t="str">
        <f>IF(B60="","",INDEX('Player Board'!$C$4:$C$163,MATCH(B60,'Player Board'!$B$4:$B$163,0)))</f>
        <v>WR</v>
      </c>
      <c r="D60">
        <f>IF(B60="","",INDEX('Player Board'!$D$4:$D$163,MATCH(B60,'Player Board'!$B$4:$B$163,0)))</f>
        <v>49</v>
      </c>
      <c r="E60">
        <f>IF(B60="","",INDEX('Player Board'!$H$4:$H$163,MATCH(B60,'Player Board'!$B$4:$B$163,0)))</f>
        <v>117</v>
      </c>
      <c r="F60">
        <f>IF(B60="","",INDEX('Player Board'!$F$4:$F$163,MATCH(B60,'Player Board'!$B$4:$B$163,0)))</f>
        <v>8</v>
      </c>
      <c r="G60" t="str">
        <f>IF(B60="","",INDEX('Player Board'!$P$4:$P$163,MATCH(B60,'Player Board'!$B$4:$B$163,0)))</f>
        <v>No</v>
      </c>
      <c r="H60" t="str">
        <f>IF(B60="","",INDEX('Player Board'!$M$4:$M$163,MATCH(B60,'Player Board'!$B$4:$B$163,0)))</f>
        <v>Late</v>
      </c>
      <c r="I60">
        <f>IF(B60="","",INDEX('Player Board'!$G$4:$G$163,MATCH(B60,'Player Board'!$B$4:$B$163,0)))</f>
        <v>115</v>
      </c>
      <c r="J60" s="1" t="str">
        <f>IF(B60="","",INDEX('Player Board'!$N$4:$N$163,MATCH(B60,'Player Board'!$B$4:$B$163,0)))</f>
        <v>Near KTC after adjusting for six keepers, taxi value, role security, and eight-team replacement depth.</v>
      </c>
      <c r="K60">
        <f>IF(B60="","",IFERROR(INDEX('Player Board'!$Q$4:$Q$163,MATCH(B60,'Player Board'!$B$4:$B$163,0)),""))</f>
        <v>56</v>
      </c>
      <c r="L60">
        <f t="shared" si="1"/>
        <v>-61</v>
      </c>
    </row>
    <row r="61" spans="1:12" ht="40.5">
      <c r="A61">
        <f>IFERROR(SMALL('Player Board'!$O$4:$O$163,57),"")</f>
        <v>118</v>
      </c>
      <c r="B61" t="str">
        <f>IF(OR(A61="",A61=9999),"",INDEX('Player Board'!$B$4:$B$163,MATCH(A61,'Player Board'!$H$4:$H$163,0)))</f>
        <v>Jonathon Brooks</v>
      </c>
      <c r="C61" t="str">
        <f>IF(B61="","",INDEX('Player Board'!$C$4:$C$163,MATCH(B61,'Player Board'!$B$4:$B$163,0)))</f>
        <v>RB</v>
      </c>
      <c r="D61">
        <f>IF(B61="","",INDEX('Player Board'!$D$4:$D$163,MATCH(B61,'Player Board'!$B$4:$B$163,0)))</f>
        <v>28</v>
      </c>
      <c r="E61">
        <f>IF(B61="","",INDEX('Player Board'!$H$4:$H$163,MATCH(B61,'Player Board'!$B$4:$B$163,0)))</f>
        <v>118</v>
      </c>
      <c r="F61">
        <f>IF(B61="","",INDEX('Player Board'!$F$4:$F$163,MATCH(B61,'Player Board'!$B$4:$B$163,0)))</f>
        <v>8</v>
      </c>
      <c r="G61" t="str">
        <f>IF(B61="","",INDEX('Player Board'!$P$4:$P$163,MATCH(B61,'Player Board'!$B$4:$B$163,0)))</f>
        <v>No</v>
      </c>
      <c r="H61" t="str">
        <f>IF(B61="","",INDEX('Player Board'!$M$4:$M$163,MATCH(B61,'Player Board'!$B$4:$B$163,0)))</f>
        <v>Late</v>
      </c>
      <c r="I61">
        <f>IF(B61="","",INDEX('Player Board'!$G$4:$G$163,MATCH(B61,'Player Board'!$B$4:$B$163,0)))</f>
        <v>116</v>
      </c>
      <c r="J61" s="1" t="str">
        <f>IF(B61="","",INDEX('Player Board'!$N$4:$N$163,MATCH(B61,'Player Board'!$B$4:$B$163,0)))</f>
        <v>Near KTC after adjusting for six keepers, taxi value, role security, and eight-team replacement depth.</v>
      </c>
      <c r="K61">
        <f>IF(B61="","",IFERROR(INDEX('Player Board'!$Q$4:$Q$163,MATCH(B61,'Player Board'!$B$4:$B$163,0)),""))</f>
        <v>57</v>
      </c>
      <c r="L61">
        <f t="shared" si="1"/>
        <v>-61</v>
      </c>
    </row>
    <row r="62" spans="1:12" ht="40.5">
      <c r="A62">
        <f>IFERROR(SMALL('Player Board'!$O$4:$O$163,58),"")</f>
        <v>119</v>
      </c>
      <c r="B62" t="str">
        <f>IF(OR(A62="",A62=9999),"",INDEX('Player Board'!$B$4:$B$163,MATCH(A62,'Player Board'!$H$4:$H$163,0)))</f>
        <v>Jayden Reed</v>
      </c>
      <c r="C62" t="str">
        <f>IF(B62="","",INDEX('Player Board'!$C$4:$C$163,MATCH(B62,'Player Board'!$B$4:$B$163,0)))</f>
        <v>WR</v>
      </c>
      <c r="D62">
        <f>IF(B62="","",INDEX('Player Board'!$D$4:$D$163,MATCH(B62,'Player Board'!$B$4:$B$163,0)))</f>
        <v>50</v>
      </c>
      <c r="E62">
        <f>IF(B62="","",INDEX('Player Board'!$H$4:$H$163,MATCH(B62,'Player Board'!$B$4:$B$163,0)))</f>
        <v>119</v>
      </c>
      <c r="F62">
        <f>IF(B62="","",INDEX('Player Board'!$F$4:$F$163,MATCH(B62,'Player Board'!$B$4:$B$163,0)))</f>
        <v>8</v>
      </c>
      <c r="G62" t="str">
        <f>IF(B62="","",INDEX('Player Board'!$P$4:$P$163,MATCH(B62,'Player Board'!$B$4:$B$163,0)))</f>
        <v>No</v>
      </c>
      <c r="H62" t="str">
        <f>IF(B62="","",INDEX('Player Board'!$M$4:$M$163,MATCH(B62,'Player Board'!$B$4:$B$163,0)))</f>
        <v>Late</v>
      </c>
      <c r="I62">
        <f>IF(B62="","",INDEX('Player Board'!$G$4:$G$163,MATCH(B62,'Player Board'!$B$4:$B$163,0)))</f>
        <v>118</v>
      </c>
      <c r="J62" s="1" t="str">
        <f>IF(B62="","",INDEX('Player Board'!$N$4:$N$163,MATCH(B62,'Player Board'!$B$4:$B$163,0)))</f>
        <v>Near KTC after adjusting for six keepers, taxi value, role security, and eight-team replacement depth.</v>
      </c>
      <c r="K62">
        <f>IF(B62="","",IFERROR(INDEX('Player Board'!$Q$4:$Q$163,MATCH(B62,'Player Board'!$B$4:$B$163,0)),""))</f>
        <v>58</v>
      </c>
      <c r="L62">
        <f t="shared" si="1"/>
        <v>-61</v>
      </c>
    </row>
    <row r="63" spans="1:12" ht="40.5">
      <c r="A63">
        <f>IFERROR(SMALL('Player Board'!$O$4:$O$163,59),"")</f>
        <v>120</v>
      </c>
      <c r="B63" t="str">
        <f>IF(OR(A63="",A63=9999),"",INDEX('Player Board'!$B$4:$B$163,MATCH(A63,'Player Board'!$H$4:$H$163,0)))</f>
        <v>Blake Corum</v>
      </c>
      <c r="C63" t="str">
        <f>IF(B63="","",INDEX('Player Board'!$C$4:$C$163,MATCH(B63,'Player Board'!$B$4:$B$163,0)))</f>
        <v>RB</v>
      </c>
      <c r="D63">
        <f>IF(B63="","",INDEX('Player Board'!$D$4:$D$163,MATCH(B63,'Player Board'!$B$4:$B$163,0)))</f>
        <v>29</v>
      </c>
      <c r="E63">
        <f>IF(B63="","",INDEX('Player Board'!$H$4:$H$163,MATCH(B63,'Player Board'!$B$4:$B$163,0)))</f>
        <v>120</v>
      </c>
      <c r="F63">
        <f>IF(B63="","",INDEX('Player Board'!$F$4:$F$163,MATCH(B63,'Player Board'!$B$4:$B$163,0)))</f>
        <v>8</v>
      </c>
      <c r="G63" t="str">
        <f>IF(B63="","",INDEX('Player Board'!$P$4:$P$163,MATCH(B63,'Player Board'!$B$4:$B$163,0)))</f>
        <v>No</v>
      </c>
      <c r="H63" t="str">
        <f>IF(B63="","",INDEX('Player Board'!$M$4:$M$163,MATCH(B63,'Player Board'!$B$4:$B$163,0)))</f>
        <v>Late</v>
      </c>
      <c r="I63">
        <f>IF(B63="","",INDEX('Player Board'!$G$4:$G$163,MATCH(B63,'Player Board'!$B$4:$B$163,0)))</f>
        <v>119</v>
      </c>
      <c r="J63" s="1" t="str">
        <f>IF(B63="","",INDEX('Player Board'!$N$4:$N$163,MATCH(B63,'Player Board'!$B$4:$B$163,0)))</f>
        <v>Near KTC after adjusting for six keepers, taxi value, role security, and eight-team replacement depth.</v>
      </c>
      <c r="K63">
        <f>IF(B63="","",IFERROR(INDEX('Player Board'!$Q$4:$Q$163,MATCH(B63,'Player Board'!$B$4:$B$163,0)),""))</f>
        <v>59</v>
      </c>
      <c r="L63">
        <f t="shared" si="1"/>
        <v>-61</v>
      </c>
    </row>
    <row r="64" spans="1:12" ht="40.5">
      <c r="A64">
        <f>IFERROR(SMALL('Player Board'!$O$4:$O$163,60),"")</f>
        <v>121</v>
      </c>
      <c r="B64" t="str">
        <f>IF(OR(A64="",A64=9999),"",INDEX('Player Board'!$B$4:$B$163,MATCH(A64,'Player Board'!$H$4:$H$163,0)))</f>
        <v>RJ Harvey</v>
      </c>
      <c r="C64" t="str">
        <f>IF(B64="","",INDEX('Player Board'!$C$4:$C$163,MATCH(B64,'Player Board'!$B$4:$B$163,0)))</f>
        <v>RB</v>
      </c>
      <c r="D64">
        <f>IF(B64="","",INDEX('Player Board'!$D$4:$D$163,MATCH(B64,'Player Board'!$B$4:$B$163,0)))</f>
        <v>30</v>
      </c>
      <c r="E64">
        <f>IF(B64="","",INDEX('Player Board'!$H$4:$H$163,MATCH(B64,'Player Board'!$B$4:$B$163,0)))</f>
        <v>121</v>
      </c>
      <c r="F64">
        <f>IF(B64="","",INDEX('Player Board'!$F$4:$F$163,MATCH(B64,'Player Board'!$B$4:$B$163,0)))</f>
        <v>9</v>
      </c>
      <c r="G64" t="str">
        <f>IF(B64="","",INDEX('Player Board'!$P$4:$P$163,MATCH(B64,'Player Board'!$B$4:$B$163,0)))</f>
        <v>No</v>
      </c>
      <c r="H64" t="str">
        <f>IF(B64="","",INDEX('Player Board'!$M$4:$M$163,MATCH(B64,'Player Board'!$B$4:$B$163,0)))</f>
        <v>Late</v>
      </c>
      <c r="I64">
        <f>IF(B64="","",INDEX('Player Board'!$G$4:$G$163,MATCH(B64,'Player Board'!$B$4:$B$163,0)))</f>
        <v>120</v>
      </c>
      <c r="J64" s="1" t="str">
        <f>IF(B64="","",INDEX('Player Board'!$N$4:$N$163,MATCH(B64,'Player Board'!$B$4:$B$163,0)))</f>
        <v>Near KTC after adjusting for six keepers, taxi value, role security, and eight-team replacement depth.</v>
      </c>
      <c r="K64">
        <f>IF(B64="","",IFERROR(INDEX('Player Board'!$Q$4:$Q$163,MATCH(B64,'Player Board'!$B$4:$B$163,0)),""))</f>
        <v>60</v>
      </c>
      <c r="L64">
        <f t="shared" si="1"/>
        <v>-61</v>
      </c>
    </row>
    <row r="65" spans="1:12" ht="40.5">
      <c r="A65">
        <f>IFERROR(SMALL('Player Board'!$O$4:$O$163,61),"")</f>
        <v>122</v>
      </c>
      <c r="B65" t="str">
        <f>IF(OR(A65="",A65=9999),"",INDEX('Player Board'!$B$4:$B$163,MATCH(A65,'Player Board'!$H$4:$H$163,0)))</f>
        <v>Zach Charbonnet</v>
      </c>
      <c r="C65" t="str">
        <f>IF(B65="","",INDEX('Player Board'!$C$4:$C$163,MATCH(B65,'Player Board'!$B$4:$B$163,0)))</f>
        <v>RB</v>
      </c>
      <c r="D65">
        <f>IF(B65="","",INDEX('Player Board'!$D$4:$D$163,MATCH(B65,'Player Board'!$B$4:$B$163,0)))</f>
        <v>31</v>
      </c>
      <c r="E65">
        <f>IF(B65="","",INDEX('Player Board'!$H$4:$H$163,MATCH(B65,'Player Board'!$B$4:$B$163,0)))</f>
        <v>122</v>
      </c>
      <c r="F65">
        <f>IF(B65="","",INDEX('Player Board'!$F$4:$F$163,MATCH(B65,'Player Board'!$B$4:$B$163,0)))</f>
        <v>9</v>
      </c>
      <c r="G65" t="str">
        <f>IF(B65="","",INDEX('Player Board'!$P$4:$P$163,MATCH(B65,'Player Board'!$B$4:$B$163,0)))</f>
        <v>No</v>
      </c>
      <c r="H65" t="str">
        <f>IF(B65="","",INDEX('Player Board'!$M$4:$M$163,MATCH(B65,'Player Board'!$B$4:$B$163,0)))</f>
        <v>Late</v>
      </c>
      <c r="I65">
        <f>IF(B65="","",INDEX('Player Board'!$G$4:$G$163,MATCH(B65,'Player Board'!$B$4:$B$163,0)))</f>
        <v>121</v>
      </c>
      <c r="J65" s="1" t="str">
        <f>IF(B65="","",INDEX('Player Board'!$N$4:$N$163,MATCH(B65,'Player Board'!$B$4:$B$163,0)))</f>
        <v>Near KTC after adjusting for six keepers, taxi value, role security, and eight-team replacement depth.</v>
      </c>
      <c r="K65">
        <f>IF(B65="","",IFERROR(INDEX('Player Board'!$Q$4:$Q$163,MATCH(B65,'Player Board'!$B$4:$B$163,0)),""))</f>
        <v>61</v>
      </c>
      <c r="L65">
        <f t="shared" si="1"/>
        <v>-61</v>
      </c>
    </row>
    <row r="66" spans="1:12" ht="40.5">
      <c r="A66">
        <f>IFERROR(SMALL('Player Board'!$O$4:$O$163,62),"")</f>
        <v>124</v>
      </c>
      <c r="B66" t="str">
        <f>IF(OR(A66="",A66=9999),"",INDEX('Player Board'!$B$4:$B$163,MATCH(A66,'Player Board'!$H$4:$H$163,0)))</f>
        <v>Xavier Worthy</v>
      </c>
      <c r="C66" t="str">
        <f>IF(B66="","",INDEX('Player Board'!$C$4:$C$163,MATCH(B66,'Player Board'!$B$4:$B$163,0)))</f>
        <v>WR</v>
      </c>
      <c r="D66">
        <f>IF(B66="","",INDEX('Player Board'!$D$4:$D$163,MATCH(B66,'Player Board'!$B$4:$B$163,0)))</f>
        <v>52</v>
      </c>
      <c r="E66">
        <f>IF(B66="","",INDEX('Player Board'!$H$4:$H$163,MATCH(B66,'Player Board'!$B$4:$B$163,0)))</f>
        <v>124</v>
      </c>
      <c r="F66">
        <f>IF(B66="","",INDEX('Player Board'!$F$4:$F$163,MATCH(B66,'Player Board'!$B$4:$B$163,0)))</f>
        <v>9</v>
      </c>
      <c r="G66" t="str">
        <f>IF(B66="","",INDEX('Player Board'!$P$4:$P$163,MATCH(B66,'Player Board'!$B$4:$B$163,0)))</f>
        <v>No</v>
      </c>
      <c r="H66" t="str">
        <f>IF(B66="","",INDEX('Player Board'!$M$4:$M$163,MATCH(B66,'Player Board'!$B$4:$B$163,0)))</f>
        <v>Late</v>
      </c>
      <c r="I66">
        <f>IF(B66="","",INDEX('Player Board'!$G$4:$G$163,MATCH(B66,'Player Board'!$B$4:$B$163,0)))</f>
        <v>124</v>
      </c>
      <c r="J66" s="1" t="str">
        <f>IF(B66="","",INDEX('Player Board'!$N$4:$N$163,MATCH(B66,'Player Board'!$B$4:$B$163,0)))</f>
        <v>Near KTC after adjusting for six keepers, taxi value, role security, and eight-team replacement depth.</v>
      </c>
      <c r="K66">
        <f>IF(B66="","",IFERROR(INDEX('Player Board'!$Q$4:$Q$163,MATCH(B66,'Player Board'!$B$4:$B$163,0)),""))</f>
        <v>62</v>
      </c>
      <c r="L66">
        <f t="shared" si="1"/>
        <v>-62</v>
      </c>
    </row>
    <row r="67" spans="1:12" ht="40.5">
      <c r="A67">
        <f>IFERROR(SMALL('Player Board'!$O$4:$O$163,63),"")</f>
        <v>125</v>
      </c>
      <c r="B67" t="str">
        <f>IF(OR(A67="",A67=9999),"",INDEX('Player Board'!$B$4:$B$163,MATCH(A67,'Player Board'!$H$4:$H$163,0)))</f>
        <v>Jaylen Warren</v>
      </c>
      <c r="C67" t="str">
        <f>IF(B67="","",INDEX('Player Board'!$C$4:$C$163,MATCH(B67,'Player Board'!$B$4:$B$163,0)))</f>
        <v>RB</v>
      </c>
      <c r="D67">
        <f>IF(B67="","",INDEX('Player Board'!$D$4:$D$163,MATCH(B67,'Player Board'!$B$4:$B$163,0)))</f>
        <v>32</v>
      </c>
      <c r="E67">
        <f>IF(B67="","",INDEX('Player Board'!$H$4:$H$163,MATCH(B67,'Player Board'!$B$4:$B$163,0)))</f>
        <v>125</v>
      </c>
      <c r="F67">
        <f>IF(B67="","",INDEX('Player Board'!$F$4:$F$163,MATCH(B67,'Player Board'!$B$4:$B$163,0)))</f>
        <v>9</v>
      </c>
      <c r="G67" t="str">
        <f>IF(B67="","",INDEX('Player Board'!$P$4:$P$163,MATCH(B67,'Player Board'!$B$4:$B$163,0)))</f>
        <v>No</v>
      </c>
      <c r="H67" t="str">
        <f>IF(B67="","",INDEX('Player Board'!$M$4:$M$163,MATCH(B67,'Player Board'!$B$4:$B$163,0)))</f>
        <v>Late</v>
      </c>
      <c r="I67">
        <f>IF(B67="","",INDEX('Player Board'!$G$4:$G$163,MATCH(B67,'Player Board'!$B$4:$B$163,0)))</f>
        <v>125</v>
      </c>
      <c r="J67" s="1" t="str">
        <f>IF(B67="","",INDEX('Player Board'!$N$4:$N$163,MATCH(B67,'Player Board'!$B$4:$B$163,0)))</f>
        <v>Near KTC after adjusting for six keepers, taxi value, role security, and eight-team replacement depth.</v>
      </c>
      <c r="K67">
        <f>IF(B67="","",IFERROR(INDEX('Player Board'!$Q$4:$Q$163,MATCH(B67,'Player Board'!$B$4:$B$163,0)),""))</f>
        <v>63</v>
      </c>
      <c r="L67">
        <f t="shared" si="1"/>
        <v>-62</v>
      </c>
    </row>
    <row r="68" spans="1:12" ht="40.5">
      <c r="A68">
        <f>IFERROR(SMALL('Player Board'!$O$4:$O$163,64),"")</f>
        <v>126</v>
      </c>
      <c r="B68" t="str">
        <f>IF(OR(A68="",A68=9999),"",INDEX('Player Board'!$B$4:$B$163,MATCH(A68,'Player Board'!$H$4:$H$163,0)))</f>
        <v>Chuba Hubbard</v>
      </c>
      <c r="C68" t="str">
        <f>IF(B68="","",INDEX('Player Board'!$C$4:$C$163,MATCH(B68,'Player Board'!$B$4:$B$163,0)))</f>
        <v>RB</v>
      </c>
      <c r="D68">
        <f>IF(B68="","",INDEX('Player Board'!$D$4:$D$163,MATCH(B68,'Player Board'!$B$4:$B$163,0)))</f>
        <v>33</v>
      </c>
      <c r="E68">
        <f>IF(B68="","",INDEX('Player Board'!$H$4:$H$163,MATCH(B68,'Player Board'!$B$4:$B$163,0)))</f>
        <v>126</v>
      </c>
      <c r="F68">
        <f>IF(B68="","",INDEX('Player Board'!$F$4:$F$163,MATCH(B68,'Player Board'!$B$4:$B$163,0)))</f>
        <v>9</v>
      </c>
      <c r="G68" t="str">
        <f>IF(B68="","",INDEX('Player Board'!$P$4:$P$163,MATCH(B68,'Player Board'!$B$4:$B$163,0)))</f>
        <v>No</v>
      </c>
      <c r="H68" t="str">
        <f>IF(B68="","",INDEX('Player Board'!$M$4:$M$163,MATCH(B68,'Player Board'!$B$4:$B$163,0)))</f>
        <v>Late</v>
      </c>
      <c r="I68">
        <f>IF(B68="","",INDEX('Player Board'!$G$4:$G$163,MATCH(B68,'Player Board'!$B$4:$B$163,0)))</f>
        <v>126</v>
      </c>
      <c r="J68" s="1" t="str">
        <f>IF(B68="","",INDEX('Player Board'!$N$4:$N$163,MATCH(B68,'Player Board'!$B$4:$B$163,0)))</f>
        <v>Near KTC after adjusting for six keepers, taxi value, role security, and eight-team replacement depth.</v>
      </c>
      <c r="K68">
        <f>IF(B68="","",IFERROR(INDEX('Player Board'!$Q$4:$Q$163,MATCH(B68,'Player Board'!$B$4:$B$163,0)),""))</f>
        <v>64</v>
      </c>
      <c r="L68">
        <f t="shared" si="1"/>
        <v>-62</v>
      </c>
    </row>
    <row r="69" spans="1:12" ht="40.5">
      <c r="A69">
        <f>IFERROR(SMALL('Player Board'!$O$4:$O$163,65),"")</f>
        <v>127</v>
      </c>
      <c r="B69" t="str">
        <f>IF(OR(A69="",A69=9999),"",INDEX('Player Board'!$B$4:$B$163,MATCH(A69,'Player Board'!$H$4:$H$163,0)))</f>
        <v>Dalton Kincaid</v>
      </c>
      <c r="C69" t="str">
        <f>IF(B69="","",INDEX('Player Board'!$C$4:$C$163,MATCH(B69,'Player Board'!$B$4:$B$163,0)))</f>
        <v>TE</v>
      </c>
      <c r="D69">
        <f>IF(B69="","",INDEX('Player Board'!$D$4:$D$163,MATCH(B69,'Player Board'!$B$4:$B$163,0)))</f>
        <v>14</v>
      </c>
      <c r="E69">
        <f>IF(B69="","",INDEX('Player Board'!$H$4:$H$163,MATCH(B69,'Player Board'!$B$4:$B$163,0)))</f>
        <v>127</v>
      </c>
      <c r="F69">
        <f>IF(B69="","",INDEX('Player Board'!$F$4:$F$163,MATCH(B69,'Player Board'!$B$4:$B$163,0)))</f>
        <v>9</v>
      </c>
      <c r="G69" t="str">
        <f>IF(B69="","",INDEX('Player Board'!$P$4:$P$163,MATCH(B69,'Player Board'!$B$4:$B$163,0)))</f>
        <v>No</v>
      </c>
      <c r="H69" t="str">
        <f>IF(B69="","",INDEX('Player Board'!$M$4:$M$163,MATCH(B69,'Player Board'!$B$4:$B$163,0)))</f>
        <v>Late</v>
      </c>
      <c r="I69">
        <f>IF(B69="","",INDEX('Player Board'!$G$4:$G$163,MATCH(B69,'Player Board'!$B$4:$B$163,0)))</f>
        <v>127</v>
      </c>
      <c r="J69" s="1" t="str">
        <f>IF(B69="","",INDEX('Player Board'!$N$4:$N$163,MATCH(B69,'Player Board'!$B$4:$B$163,0)))</f>
        <v>No TEP and shallow replacement depth require real weekly separation before paying a major premium.</v>
      </c>
      <c r="K69">
        <f>IF(B69="","",IFERROR(INDEX('Player Board'!$Q$4:$Q$163,MATCH(B69,'Player Board'!$B$4:$B$163,0)),""))</f>
        <v>65</v>
      </c>
      <c r="L69">
        <f t="shared" ref="L69:L100" si="2">IF(OR(E69="",K69=""),"",K69-E69)</f>
        <v>-62</v>
      </c>
    </row>
    <row r="70" spans="1:12" ht="40.5">
      <c r="A70">
        <f>IFERROR(SMALL('Player Board'!$O$4:$O$163,66),"")</f>
        <v>128</v>
      </c>
      <c r="B70" t="str">
        <f>IF(OR(A70="",A70=9999),"",INDEX('Player Board'!$B$4:$B$163,MATCH(A70,'Player Board'!$H$4:$H$163,0)))</f>
        <v>Jalen Coker</v>
      </c>
      <c r="C70" t="str">
        <f>IF(B70="","",INDEX('Player Board'!$C$4:$C$163,MATCH(B70,'Player Board'!$B$4:$B$163,0)))</f>
        <v>WR</v>
      </c>
      <c r="D70">
        <f>IF(B70="","",INDEX('Player Board'!$D$4:$D$163,MATCH(B70,'Player Board'!$B$4:$B$163,0)))</f>
        <v>53</v>
      </c>
      <c r="E70">
        <f>IF(B70="","",INDEX('Player Board'!$H$4:$H$163,MATCH(B70,'Player Board'!$B$4:$B$163,0)))</f>
        <v>128</v>
      </c>
      <c r="F70">
        <f>IF(B70="","",INDEX('Player Board'!$F$4:$F$163,MATCH(B70,'Player Board'!$B$4:$B$163,0)))</f>
        <v>9</v>
      </c>
      <c r="G70" t="str">
        <f>IF(B70="","",INDEX('Player Board'!$P$4:$P$163,MATCH(B70,'Player Board'!$B$4:$B$163,0)))</f>
        <v>No</v>
      </c>
      <c r="H70" t="str">
        <f>IF(B70="","",INDEX('Player Board'!$M$4:$M$163,MATCH(B70,'Player Board'!$B$4:$B$163,0)))</f>
        <v>Late</v>
      </c>
      <c r="I70">
        <f>IF(B70="","",INDEX('Player Board'!$G$4:$G$163,MATCH(B70,'Player Board'!$B$4:$B$163,0)))</f>
        <v>128</v>
      </c>
      <c r="J70" s="1" t="str">
        <f>IF(B70="","",INDEX('Player Board'!$N$4:$N$163,MATCH(B70,'Player Board'!$B$4:$B$163,0)))</f>
        <v>Near KTC after adjusting for six keepers, taxi value, role security, and eight-team replacement depth.</v>
      </c>
      <c r="K70">
        <f>IF(B70="","",IFERROR(INDEX('Player Board'!$Q$4:$Q$163,MATCH(B70,'Player Board'!$B$4:$B$163,0)),""))</f>
        <v>66</v>
      </c>
      <c r="L70">
        <f t="shared" si="2"/>
        <v>-62</v>
      </c>
    </row>
    <row r="71" spans="1:12" ht="40.5">
      <c r="A71">
        <f>IFERROR(SMALL('Player Board'!$O$4:$O$163,67),"")</f>
        <v>129</v>
      </c>
      <c r="B71" t="str">
        <f>IF(OR(A71="",A71=9999),"",INDEX('Player Board'!$B$4:$B$163,MATCH(A71,'Player Board'!$H$4:$H$163,0)))</f>
        <v>Jonah Coleman</v>
      </c>
      <c r="C71" t="str">
        <f>IF(B71="","",INDEX('Player Board'!$C$4:$C$163,MATCH(B71,'Player Board'!$B$4:$B$163,0)))</f>
        <v>RB</v>
      </c>
      <c r="D71">
        <f>IF(B71="","",INDEX('Player Board'!$D$4:$D$163,MATCH(B71,'Player Board'!$B$4:$B$163,0)))</f>
        <v>34</v>
      </c>
      <c r="E71">
        <f>IF(B71="","",INDEX('Player Board'!$H$4:$H$163,MATCH(B71,'Player Board'!$B$4:$B$163,0)))</f>
        <v>129</v>
      </c>
      <c r="F71">
        <f>IF(B71="","",INDEX('Player Board'!$F$4:$F$163,MATCH(B71,'Player Board'!$B$4:$B$163,0)))</f>
        <v>9</v>
      </c>
      <c r="G71" t="str">
        <f>IF(B71="","",INDEX('Player Board'!$P$4:$P$163,MATCH(B71,'Player Board'!$B$4:$B$163,0)))</f>
        <v>Yes</v>
      </c>
      <c r="H71" t="str">
        <f>IF(B71="","",INDEX('Player Board'!$M$4:$M$163,MATCH(B71,'Player Board'!$B$4:$B$163,0)))</f>
        <v>Late</v>
      </c>
      <c r="I71">
        <f>IF(B71="","",INDEX('Player Board'!$G$4:$G$163,MATCH(B71,'Player Board'!$B$4:$B$163,0)))</f>
        <v>129</v>
      </c>
      <c r="J71" s="1" t="str">
        <f>IF(B71="","",INDEX('Player Board'!$N$4:$N$163,MATCH(B71,'Player Board'!$B$4:$B$163,0)))</f>
        <v>Near KTC after adjusting for six keepers, taxi value, role security, and eight-team replacement depth.</v>
      </c>
      <c r="K71">
        <f>IF(B71="","",IFERROR(INDEX('Player Board'!$Q$4:$Q$163,MATCH(B71,'Player Board'!$B$4:$B$163,0)),""))</f>
        <v>67</v>
      </c>
      <c r="L71">
        <f t="shared" si="2"/>
        <v>-62</v>
      </c>
    </row>
    <row r="72" spans="1:12" ht="40.5">
      <c r="A72">
        <f>IFERROR(SMALL('Player Board'!$O$4:$O$163,68),"")</f>
        <v>130</v>
      </c>
      <c r="B72" t="str">
        <f>IF(OR(A72="",A72=9999),"",INDEX('Player Board'!$B$4:$B$163,MATCH(A72,'Player Board'!$H$4:$H$163,0)))</f>
        <v>Rico Dowdle</v>
      </c>
      <c r="C72" t="str">
        <f>IF(B72="","",INDEX('Player Board'!$C$4:$C$163,MATCH(B72,'Player Board'!$B$4:$B$163,0)))</f>
        <v>RB</v>
      </c>
      <c r="D72">
        <f>IF(B72="","",INDEX('Player Board'!$D$4:$D$163,MATCH(B72,'Player Board'!$B$4:$B$163,0)))</f>
        <v>35</v>
      </c>
      <c r="E72">
        <f>IF(B72="","",INDEX('Player Board'!$H$4:$H$163,MATCH(B72,'Player Board'!$B$4:$B$163,0)))</f>
        <v>130</v>
      </c>
      <c r="F72">
        <f>IF(B72="","",INDEX('Player Board'!$F$4:$F$163,MATCH(B72,'Player Board'!$B$4:$B$163,0)))</f>
        <v>9</v>
      </c>
      <c r="G72" t="str">
        <f>IF(B72="","",INDEX('Player Board'!$P$4:$P$163,MATCH(B72,'Player Board'!$B$4:$B$163,0)))</f>
        <v>No</v>
      </c>
      <c r="H72" t="str">
        <f>IF(B72="","",INDEX('Player Board'!$M$4:$M$163,MATCH(B72,'Player Board'!$B$4:$B$163,0)))</f>
        <v>Late</v>
      </c>
      <c r="I72">
        <f>IF(B72="","",INDEX('Player Board'!$G$4:$G$163,MATCH(B72,'Player Board'!$B$4:$B$163,0)))</f>
        <v>130</v>
      </c>
      <c r="J72" s="1" t="str">
        <f>IF(B72="","",INDEX('Player Board'!$N$4:$N$163,MATCH(B72,'Player Board'!$B$4:$B$163,0)))</f>
        <v>Near KTC after adjusting for six keepers, taxi value, role security, and eight-team replacement depth.</v>
      </c>
      <c r="K72">
        <f>IF(B72="","",IFERROR(INDEX('Player Board'!$Q$4:$Q$163,MATCH(B72,'Player Board'!$B$4:$B$163,0)),""))</f>
        <v>68</v>
      </c>
      <c r="L72">
        <f t="shared" si="2"/>
        <v>-62</v>
      </c>
    </row>
    <row r="73" spans="1:12" ht="40.5">
      <c r="A73">
        <f>IFERROR(SMALL('Player Board'!$O$4:$O$163,69),"")</f>
        <v>131</v>
      </c>
      <c r="B73" t="str">
        <f>IF(OR(A73="",A73=9999),"",INDEX('Player Board'!$B$4:$B$163,MATCH(A73,'Player Board'!$H$4:$H$163,0)))</f>
        <v>Jake Ferguson</v>
      </c>
      <c r="C73" t="str">
        <f>IF(B73="","",INDEX('Player Board'!$C$4:$C$163,MATCH(B73,'Player Board'!$B$4:$B$163,0)))</f>
        <v>TE</v>
      </c>
      <c r="D73">
        <f>IF(B73="","",INDEX('Player Board'!$D$4:$D$163,MATCH(B73,'Player Board'!$B$4:$B$163,0)))</f>
        <v>15</v>
      </c>
      <c r="E73">
        <f>IF(B73="","",INDEX('Player Board'!$H$4:$H$163,MATCH(B73,'Player Board'!$B$4:$B$163,0)))</f>
        <v>131</v>
      </c>
      <c r="F73">
        <f>IF(B73="","",INDEX('Player Board'!$F$4:$F$163,MATCH(B73,'Player Board'!$B$4:$B$163,0)))</f>
        <v>9</v>
      </c>
      <c r="G73" t="str">
        <f>IF(B73="","",INDEX('Player Board'!$P$4:$P$163,MATCH(B73,'Player Board'!$B$4:$B$163,0)))</f>
        <v>No</v>
      </c>
      <c r="H73" t="str">
        <f>IF(B73="","",INDEX('Player Board'!$M$4:$M$163,MATCH(B73,'Player Board'!$B$4:$B$163,0)))</f>
        <v>Late</v>
      </c>
      <c r="I73">
        <f>IF(B73="","",INDEX('Player Board'!$G$4:$G$163,MATCH(B73,'Player Board'!$B$4:$B$163,0)))</f>
        <v>131</v>
      </c>
      <c r="J73" s="1" t="str">
        <f>IF(B73="","",INDEX('Player Board'!$N$4:$N$163,MATCH(B73,'Player Board'!$B$4:$B$163,0)))</f>
        <v>No TEP and shallow replacement depth require real weekly separation before paying a major premium.</v>
      </c>
      <c r="K73">
        <f>IF(B73="","",IFERROR(INDEX('Player Board'!$Q$4:$Q$163,MATCH(B73,'Player Board'!$B$4:$B$163,0)),""))</f>
        <v>69</v>
      </c>
      <c r="L73">
        <f t="shared" si="2"/>
        <v>-62</v>
      </c>
    </row>
    <row r="74" spans="1:12" ht="40.5">
      <c r="A74">
        <f>IFERROR(SMALL('Player Board'!$O$4:$O$163,70),"")</f>
        <v>132</v>
      </c>
      <c r="B74" t="str">
        <f>IF(OR(A74="",A74=9999),"",INDEX('Player Board'!$B$4:$B$163,MATCH(A74,'Player Board'!$H$4:$H$163,0)))</f>
        <v>Antonio Williams</v>
      </c>
      <c r="C74" t="str">
        <f>IF(B74="","",INDEX('Player Board'!$C$4:$C$163,MATCH(B74,'Player Board'!$B$4:$B$163,0)))</f>
        <v>WR</v>
      </c>
      <c r="D74">
        <f>IF(B74="","",INDEX('Player Board'!$D$4:$D$163,MATCH(B74,'Player Board'!$B$4:$B$163,0)))</f>
        <v>54</v>
      </c>
      <c r="E74">
        <f>IF(B74="","",INDEX('Player Board'!$H$4:$H$163,MATCH(B74,'Player Board'!$B$4:$B$163,0)))</f>
        <v>132</v>
      </c>
      <c r="F74">
        <f>IF(B74="","",INDEX('Player Board'!$F$4:$F$163,MATCH(B74,'Player Board'!$B$4:$B$163,0)))</f>
        <v>9</v>
      </c>
      <c r="G74" t="str">
        <f>IF(B74="","",INDEX('Player Board'!$P$4:$P$163,MATCH(B74,'Player Board'!$B$4:$B$163,0)))</f>
        <v>Yes</v>
      </c>
      <c r="H74" t="str">
        <f>IF(B74="","",INDEX('Player Board'!$M$4:$M$163,MATCH(B74,'Player Board'!$B$4:$B$163,0)))</f>
        <v>Late</v>
      </c>
      <c r="I74">
        <f>IF(B74="","",INDEX('Player Board'!$G$4:$G$163,MATCH(B74,'Player Board'!$B$4:$B$163,0)))</f>
        <v>132</v>
      </c>
      <c r="J74" s="1" t="str">
        <f>IF(B74="","",INDEX('Player Board'!$N$4:$N$163,MATCH(B74,'Player Board'!$B$4:$B$163,0)))</f>
        <v>Near KTC after adjusting for six keepers, taxi value, role security, and eight-team replacement depth.</v>
      </c>
      <c r="K74">
        <f>IF(B74="","",IFERROR(INDEX('Player Board'!$Q$4:$Q$163,MATCH(B74,'Player Board'!$B$4:$B$163,0)),""))</f>
        <v>70</v>
      </c>
      <c r="L74">
        <f t="shared" si="2"/>
        <v>-62</v>
      </c>
    </row>
    <row r="75" spans="1:12" ht="40.5">
      <c r="A75">
        <f>IFERROR(SMALL('Player Board'!$O$4:$O$163,71),"")</f>
        <v>133</v>
      </c>
      <c r="B75" t="str">
        <f>IF(OR(A75="",A75=9999),"",INDEX('Player Board'!$B$4:$B$163,MATCH(A75,'Player Board'!$H$4:$H$163,0)))</f>
        <v>Brenton Strange</v>
      </c>
      <c r="C75" t="str">
        <f>IF(B75="","",INDEX('Player Board'!$C$4:$C$163,MATCH(B75,'Player Board'!$B$4:$B$163,0)))</f>
        <v>TE</v>
      </c>
      <c r="D75">
        <f>IF(B75="","",INDEX('Player Board'!$D$4:$D$163,MATCH(B75,'Player Board'!$B$4:$B$163,0)))</f>
        <v>16</v>
      </c>
      <c r="E75">
        <f>IF(B75="","",INDEX('Player Board'!$H$4:$H$163,MATCH(B75,'Player Board'!$B$4:$B$163,0)))</f>
        <v>133</v>
      </c>
      <c r="F75">
        <f>IF(B75="","",INDEX('Player Board'!$F$4:$F$163,MATCH(B75,'Player Board'!$B$4:$B$163,0)))</f>
        <v>9</v>
      </c>
      <c r="G75" t="str">
        <f>IF(B75="","",INDEX('Player Board'!$P$4:$P$163,MATCH(B75,'Player Board'!$B$4:$B$163,0)))</f>
        <v>No</v>
      </c>
      <c r="H75" t="str">
        <f>IF(B75="","",INDEX('Player Board'!$M$4:$M$163,MATCH(B75,'Player Board'!$B$4:$B$163,0)))</f>
        <v>Late</v>
      </c>
      <c r="I75">
        <f>IF(B75="","",INDEX('Player Board'!$G$4:$G$163,MATCH(B75,'Player Board'!$B$4:$B$163,0)))</f>
        <v>133</v>
      </c>
      <c r="J75" s="1" t="str">
        <f>IF(B75="","",INDEX('Player Board'!$N$4:$N$163,MATCH(B75,'Player Board'!$B$4:$B$163,0)))</f>
        <v>No TEP and shallow replacement depth require real weekly separation before paying a major premium.</v>
      </c>
      <c r="K75">
        <f>IF(B75="","",IFERROR(INDEX('Player Board'!$Q$4:$Q$163,MATCH(B75,'Player Board'!$B$4:$B$163,0)),""))</f>
        <v>71</v>
      </c>
      <c r="L75">
        <f t="shared" si="2"/>
        <v>-62</v>
      </c>
    </row>
    <row r="76" spans="1:12" ht="40.5">
      <c r="A76">
        <f>IFERROR(SMALL('Player Board'!$O$4:$O$163,72),"")</f>
        <v>134</v>
      </c>
      <c r="B76" t="str">
        <f>IF(OR(A76="",A76=9999),"",INDEX('Player Board'!$B$4:$B$163,MATCH(A76,'Player Board'!$H$4:$H$163,0)))</f>
        <v>Chris Godwin</v>
      </c>
      <c r="C76" t="str">
        <f>IF(B76="","",INDEX('Player Board'!$C$4:$C$163,MATCH(B76,'Player Board'!$B$4:$B$163,0)))</f>
        <v>WR</v>
      </c>
      <c r="D76">
        <f>IF(B76="","",INDEX('Player Board'!$D$4:$D$163,MATCH(B76,'Player Board'!$B$4:$B$163,0)))</f>
        <v>55</v>
      </c>
      <c r="E76">
        <f>IF(B76="","",INDEX('Player Board'!$H$4:$H$163,MATCH(B76,'Player Board'!$B$4:$B$163,0)))</f>
        <v>134</v>
      </c>
      <c r="F76">
        <f>IF(B76="","",INDEX('Player Board'!$F$4:$F$163,MATCH(B76,'Player Board'!$B$4:$B$163,0)))</f>
        <v>9</v>
      </c>
      <c r="G76" t="str">
        <f>IF(B76="","",INDEX('Player Board'!$P$4:$P$163,MATCH(B76,'Player Board'!$B$4:$B$163,0)))</f>
        <v>No</v>
      </c>
      <c r="H76" t="str">
        <f>IF(B76="","",INDEX('Player Board'!$M$4:$M$163,MATCH(B76,'Player Board'!$B$4:$B$163,0)))</f>
        <v>Late</v>
      </c>
      <c r="I76">
        <f>IF(B76="","",INDEX('Player Board'!$G$4:$G$163,MATCH(B76,'Player Board'!$B$4:$B$163,0)))</f>
        <v>134</v>
      </c>
      <c r="J76" s="1" t="str">
        <f>IF(B76="","",INDEX('Player Board'!$N$4:$N$163,MATCH(B76,'Player Board'!$B$4:$B$163,0)))</f>
        <v>Near KTC after adjusting for six keepers, taxi value, role security, and eight-team replacement depth.</v>
      </c>
      <c r="K76">
        <f>IF(B76="","",IFERROR(INDEX('Player Board'!$Q$4:$Q$163,MATCH(B76,'Player Board'!$B$4:$B$163,0)),""))</f>
        <v>72</v>
      </c>
      <c r="L76">
        <f t="shared" si="2"/>
        <v>-62</v>
      </c>
    </row>
    <row r="77" spans="1:12" ht="40.5">
      <c r="A77">
        <f>IFERROR(SMALL('Player Board'!$O$4:$O$163,73),"")</f>
        <v>135</v>
      </c>
      <c r="B77" t="str">
        <f>IF(OR(A77="",A77=9999),"",INDEX('Player Board'!$B$4:$B$163,MATCH(A77,'Player Board'!$H$4:$H$163,0)))</f>
        <v>Khalil Shakir</v>
      </c>
      <c r="C77" t="str">
        <f>IF(B77="","",INDEX('Player Board'!$C$4:$C$163,MATCH(B77,'Player Board'!$B$4:$B$163,0)))</f>
        <v>WR</v>
      </c>
      <c r="D77">
        <f>IF(B77="","",INDEX('Player Board'!$D$4:$D$163,MATCH(B77,'Player Board'!$B$4:$B$163,0)))</f>
        <v>56</v>
      </c>
      <c r="E77">
        <f>IF(B77="","",INDEX('Player Board'!$H$4:$H$163,MATCH(B77,'Player Board'!$B$4:$B$163,0)))</f>
        <v>135</v>
      </c>
      <c r="F77">
        <f>IF(B77="","",INDEX('Player Board'!$F$4:$F$163,MATCH(B77,'Player Board'!$B$4:$B$163,0)))</f>
        <v>9</v>
      </c>
      <c r="G77" t="str">
        <f>IF(B77="","",INDEX('Player Board'!$P$4:$P$163,MATCH(B77,'Player Board'!$B$4:$B$163,0)))</f>
        <v>No</v>
      </c>
      <c r="H77" t="str">
        <f>IF(B77="","",INDEX('Player Board'!$M$4:$M$163,MATCH(B77,'Player Board'!$B$4:$B$163,0)))</f>
        <v>Late</v>
      </c>
      <c r="I77">
        <f>IF(B77="","",INDEX('Player Board'!$G$4:$G$163,MATCH(B77,'Player Board'!$B$4:$B$163,0)))</f>
        <v>135</v>
      </c>
      <c r="J77" s="1" t="str">
        <f>IF(B77="","",INDEX('Player Board'!$N$4:$N$163,MATCH(B77,'Player Board'!$B$4:$B$163,0)))</f>
        <v>Near KTC after adjusting for six keepers, taxi value, role security, and eight-team replacement depth.</v>
      </c>
      <c r="K77">
        <f>IF(B77="","",IFERROR(INDEX('Player Board'!$Q$4:$Q$163,MATCH(B77,'Player Board'!$B$4:$B$163,0)),""))</f>
        <v>73</v>
      </c>
      <c r="L77">
        <f t="shared" si="2"/>
        <v>-62</v>
      </c>
    </row>
    <row r="78" spans="1:12" ht="40.5">
      <c r="A78">
        <f>IFERROR(SMALL('Player Board'!$O$4:$O$163,74),"")</f>
        <v>136</v>
      </c>
      <c r="B78" t="str">
        <f>IF(OR(A78="",A78=9999),"",INDEX('Player Board'!$B$4:$B$163,MATCH(A78,'Player Board'!$H$4:$H$163,0)))</f>
        <v>Rachaad White</v>
      </c>
      <c r="C78" t="str">
        <f>IF(B78="","",INDEX('Player Board'!$C$4:$C$163,MATCH(B78,'Player Board'!$B$4:$B$163,0)))</f>
        <v>RB</v>
      </c>
      <c r="D78">
        <f>IF(B78="","",INDEX('Player Board'!$D$4:$D$163,MATCH(B78,'Player Board'!$B$4:$B$163,0)))</f>
        <v>36</v>
      </c>
      <c r="E78">
        <f>IF(B78="","",INDEX('Player Board'!$H$4:$H$163,MATCH(B78,'Player Board'!$B$4:$B$163,0)))</f>
        <v>136</v>
      </c>
      <c r="F78">
        <f>IF(B78="","",INDEX('Player Board'!$F$4:$F$163,MATCH(B78,'Player Board'!$B$4:$B$163,0)))</f>
        <v>9</v>
      </c>
      <c r="G78" t="str">
        <f>IF(B78="","",INDEX('Player Board'!$P$4:$P$163,MATCH(B78,'Player Board'!$B$4:$B$163,0)))</f>
        <v>No</v>
      </c>
      <c r="H78" t="str">
        <f>IF(B78="","",INDEX('Player Board'!$M$4:$M$163,MATCH(B78,'Player Board'!$B$4:$B$163,0)))</f>
        <v>Late</v>
      </c>
      <c r="I78">
        <f>IF(B78="","",INDEX('Player Board'!$G$4:$G$163,MATCH(B78,'Player Board'!$B$4:$B$163,0)))</f>
        <v>136</v>
      </c>
      <c r="J78" s="1" t="str">
        <f>IF(B78="","",INDEX('Player Board'!$N$4:$N$163,MATCH(B78,'Player Board'!$B$4:$B$163,0)))</f>
        <v>Near KTC after adjusting for six keepers, taxi value, role security, and eight-team replacement depth.</v>
      </c>
      <c r="K78">
        <f>IF(B78="","",IFERROR(INDEX('Player Board'!$Q$4:$Q$163,MATCH(B78,'Player Board'!$B$4:$B$163,0)),""))</f>
        <v>74</v>
      </c>
      <c r="L78">
        <f t="shared" si="2"/>
        <v>-62</v>
      </c>
    </row>
    <row r="79" spans="1:12" ht="40.5">
      <c r="A79">
        <f>IFERROR(SMALL('Player Board'!$O$4:$O$163,75),"")</f>
        <v>137</v>
      </c>
      <c r="B79" t="str">
        <f>IF(OR(A79="",A79=9999),"",INDEX('Player Board'!$B$4:$B$163,MATCH(A79,'Player Board'!$H$4:$H$163,0)))</f>
        <v>Jakobi Meyers</v>
      </c>
      <c r="C79" t="str">
        <f>IF(B79="","",INDEX('Player Board'!$C$4:$C$163,MATCH(B79,'Player Board'!$B$4:$B$163,0)))</f>
        <v>WR</v>
      </c>
      <c r="D79">
        <f>IF(B79="","",INDEX('Player Board'!$D$4:$D$163,MATCH(B79,'Player Board'!$B$4:$B$163,0)))</f>
        <v>57</v>
      </c>
      <c r="E79">
        <f>IF(B79="","",INDEX('Player Board'!$H$4:$H$163,MATCH(B79,'Player Board'!$B$4:$B$163,0)))</f>
        <v>137</v>
      </c>
      <c r="F79">
        <f>IF(B79="","",INDEX('Player Board'!$F$4:$F$163,MATCH(B79,'Player Board'!$B$4:$B$163,0)))</f>
        <v>9</v>
      </c>
      <c r="G79" t="str">
        <f>IF(B79="","",INDEX('Player Board'!$P$4:$P$163,MATCH(B79,'Player Board'!$B$4:$B$163,0)))</f>
        <v>No</v>
      </c>
      <c r="H79" t="str">
        <f>IF(B79="","",INDEX('Player Board'!$M$4:$M$163,MATCH(B79,'Player Board'!$B$4:$B$163,0)))</f>
        <v>Late</v>
      </c>
      <c r="I79">
        <f>IF(B79="","",INDEX('Player Board'!$G$4:$G$163,MATCH(B79,'Player Board'!$B$4:$B$163,0)))</f>
        <v>137</v>
      </c>
      <c r="J79" s="1" t="str">
        <f>IF(B79="","",INDEX('Player Board'!$N$4:$N$163,MATCH(B79,'Player Board'!$B$4:$B$163,0)))</f>
        <v>Near KTC after adjusting for six keepers, taxi value, role security, and eight-team replacement depth.</v>
      </c>
      <c r="K79">
        <f>IF(B79="","",IFERROR(INDEX('Player Board'!$Q$4:$Q$163,MATCH(B79,'Player Board'!$B$4:$B$163,0)),""))</f>
        <v>75</v>
      </c>
      <c r="L79">
        <f t="shared" si="2"/>
        <v>-62</v>
      </c>
    </row>
    <row r="80" spans="1:12" ht="40.5">
      <c r="A80">
        <f>IFERROR(SMALL('Player Board'!$O$4:$O$163,76),"")</f>
        <v>138</v>
      </c>
      <c r="B80" t="str">
        <f>IF(OR(A80="",A80=9999),"",INDEX('Player Board'!$B$4:$B$163,MATCH(A80,'Player Board'!$H$4:$H$163,0)))</f>
        <v>Rhamondre Stevenson</v>
      </c>
      <c r="C80" t="str">
        <f>IF(B80="","",INDEX('Player Board'!$C$4:$C$163,MATCH(B80,'Player Board'!$B$4:$B$163,0)))</f>
        <v>RB</v>
      </c>
      <c r="D80">
        <f>IF(B80="","",INDEX('Player Board'!$D$4:$D$163,MATCH(B80,'Player Board'!$B$4:$B$163,0)))</f>
        <v>37</v>
      </c>
      <c r="E80">
        <f>IF(B80="","",INDEX('Player Board'!$H$4:$H$163,MATCH(B80,'Player Board'!$B$4:$B$163,0)))</f>
        <v>138</v>
      </c>
      <c r="F80">
        <f>IF(B80="","",INDEX('Player Board'!$F$4:$F$163,MATCH(B80,'Player Board'!$B$4:$B$163,0)))</f>
        <v>9</v>
      </c>
      <c r="G80" t="str">
        <f>IF(B80="","",INDEX('Player Board'!$P$4:$P$163,MATCH(B80,'Player Board'!$B$4:$B$163,0)))</f>
        <v>No</v>
      </c>
      <c r="H80" t="str">
        <f>IF(B80="","",INDEX('Player Board'!$M$4:$M$163,MATCH(B80,'Player Board'!$B$4:$B$163,0)))</f>
        <v>Late</v>
      </c>
      <c r="I80">
        <f>IF(B80="","",INDEX('Player Board'!$G$4:$G$163,MATCH(B80,'Player Board'!$B$4:$B$163,0)))</f>
        <v>138</v>
      </c>
      <c r="J80" s="1" t="str">
        <f>IF(B80="","",INDEX('Player Board'!$N$4:$N$163,MATCH(B80,'Player Board'!$B$4:$B$163,0)))</f>
        <v>Near KTC after adjusting for six keepers, taxi value, role security, and eight-team replacement depth.</v>
      </c>
      <c r="K80">
        <f>IF(B80="","",IFERROR(INDEX('Player Board'!$Q$4:$Q$163,MATCH(B80,'Player Board'!$B$4:$B$163,0)),""))</f>
        <v>76</v>
      </c>
      <c r="L80">
        <f t="shared" si="2"/>
        <v>-62</v>
      </c>
    </row>
    <row r="81" spans="1:12" ht="40.5">
      <c r="A81">
        <f>IFERROR(SMALL('Player Board'!$O$4:$O$163,77),"")</f>
        <v>139</v>
      </c>
      <c r="B81" t="str">
        <f>IF(OR(A81="",A81=9999),"",INDEX('Player Board'!$B$4:$B$163,MATCH(A81,'Player Board'!$H$4:$H$163,0)))</f>
        <v>J.K. Dobbins</v>
      </c>
      <c r="C81" t="str">
        <f>IF(B81="","",INDEX('Player Board'!$C$4:$C$163,MATCH(B81,'Player Board'!$B$4:$B$163,0)))</f>
        <v>RB</v>
      </c>
      <c r="D81">
        <f>IF(B81="","",INDEX('Player Board'!$D$4:$D$163,MATCH(B81,'Player Board'!$B$4:$B$163,0)))</f>
        <v>38</v>
      </c>
      <c r="E81">
        <f>IF(B81="","",INDEX('Player Board'!$H$4:$H$163,MATCH(B81,'Player Board'!$B$4:$B$163,0)))</f>
        <v>139</v>
      </c>
      <c r="F81">
        <f>IF(B81="","",INDEX('Player Board'!$F$4:$F$163,MATCH(B81,'Player Board'!$B$4:$B$163,0)))</f>
        <v>9</v>
      </c>
      <c r="G81" t="str">
        <f>IF(B81="","",INDEX('Player Board'!$P$4:$P$163,MATCH(B81,'Player Board'!$B$4:$B$163,0)))</f>
        <v>No</v>
      </c>
      <c r="H81" t="str">
        <f>IF(B81="","",INDEX('Player Board'!$M$4:$M$163,MATCH(B81,'Player Board'!$B$4:$B$163,0)))</f>
        <v>Late</v>
      </c>
      <c r="I81">
        <f>IF(B81="","",INDEX('Player Board'!$G$4:$G$163,MATCH(B81,'Player Board'!$B$4:$B$163,0)))</f>
        <v>139</v>
      </c>
      <c r="J81" s="1" t="str">
        <f>IF(B81="","",INDEX('Player Board'!$N$4:$N$163,MATCH(B81,'Player Board'!$B$4:$B$163,0)))</f>
        <v>Near KTC after adjusting for six keepers, taxi value, role security, and eight-team replacement depth.</v>
      </c>
      <c r="K81">
        <f>IF(B81="","",IFERROR(INDEX('Player Board'!$Q$4:$Q$163,MATCH(B81,'Player Board'!$B$4:$B$163,0)),""))</f>
        <v>77</v>
      </c>
      <c r="L81">
        <f t="shared" si="2"/>
        <v>-62</v>
      </c>
    </row>
    <row r="82" spans="1:12" ht="40.5">
      <c r="A82">
        <f>IFERROR(SMALL('Player Board'!$O$4:$O$163,78),"")</f>
        <v>140</v>
      </c>
      <c r="B82" t="str">
        <f>IF(OR(A82="",A82=9999),"",INDEX('Player Board'!$B$4:$B$163,MATCH(A82,'Player Board'!$H$4:$H$163,0)))</f>
        <v>Jacory Croskey-Merritt</v>
      </c>
      <c r="C82" t="str">
        <f>IF(B82="","",INDEX('Player Board'!$C$4:$C$163,MATCH(B82,'Player Board'!$B$4:$B$163,0)))</f>
        <v>RB</v>
      </c>
      <c r="D82">
        <f>IF(B82="","",INDEX('Player Board'!$D$4:$D$163,MATCH(B82,'Player Board'!$B$4:$B$163,0)))</f>
        <v>39</v>
      </c>
      <c r="E82">
        <f>IF(B82="","",INDEX('Player Board'!$H$4:$H$163,MATCH(B82,'Player Board'!$B$4:$B$163,0)))</f>
        <v>140</v>
      </c>
      <c r="F82">
        <f>IF(B82="","",INDEX('Player Board'!$F$4:$F$163,MATCH(B82,'Player Board'!$B$4:$B$163,0)))</f>
        <v>9</v>
      </c>
      <c r="G82" t="str">
        <f>IF(B82="","",INDEX('Player Board'!$P$4:$P$163,MATCH(B82,'Player Board'!$B$4:$B$163,0)))</f>
        <v>No</v>
      </c>
      <c r="H82" t="str">
        <f>IF(B82="","",INDEX('Player Board'!$M$4:$M$163,MATCH(B82,'Player Board'!$B$4:$B$163,0)))</f>
        <v>Late</v>
      </c>
      <c r="I82">
        <f>IF(B82="","",INDEX('Player Board'!$G$4:$G$163,MATCH(B82,'Player Board'!$B$4:$B$163,0)))</f>
        <v>140</v>
      </c>
      <c r="J82" s="1" t="str">
        <f>IF(B82="","",INDEX('Player Board'!$N$4:$N$163,MATCH(B82,'Player Board'!$B$4:$B$163,0)))</f>
        <v>Near KTC after adjusting for six keepers, taxi value, role security, and eight-team replacement depth.</v>
      </c>
      <c r="K82">
        <f>IF(B82="","",IFERROR(INDEX('Player Board'!$Q$4:$Q$163,MATCH(B82,'Player Board'!$B$4:$B$163,0)),""))</f>
        <v>78</v>
      </c>
      <c r="L82">
        <f t="shared" si="2"/>
        <v>-62</v>
      </c>
    </row>
    <row r="83" spans="1:12" ht="40.5">
      <c r="A83">
        <f>IFERROR(SMALL('Player Board'!$O$4:$O$163,79),"")</f>
        <v>141</v>
      </c>
      <c r="B83" t="str">
        <f>IF(OR(A83="",A83=9999),"",INDEX('Player Board'!$B$4:$B$163,MATCH(A83,'Player Board'!$H$4:$H$163,0)))</f>
        <v>Chris Bell</v>
      </c>
      <c r="C83" t="str">
        <f>IF(B83="","",INDEX('Player Board'!$C$4:$C$163,MATCH(B83,'Player Board'!$B$4:$B$163,0)))</f>
        <v>WR</v>
      </c>
      <c r="D83">
        <f>IF(B83="","",INDEX('Player Board'!$D$4:$D$163,MATCH(B83,'Player Board'!$B$4:$B$163,0)))</f>
        <v>58</v>
      </c>
      <c r="E83">
        <f>IF(B83="","",INDEX('Player Board'!$H$4:$H$163,MATCH(B83,'Player Board'!$B$4:$B$163,0)))</f>
        <v>141</v>
      </c>
      <c r="F83">
        <f>IF(B83="","",INDEX('Player Board'!$F$4:$F$163,MATCH(B83,'Player Board'!$B$4:$B$163,0)))</f>
        <v>10</v>
      </c>
      <c r="G83" t="str">
        <f>IF(B83="","",INDEX('Player Board'!$P$4:$P$163,MATCH(B83,'Player Board'!$B$4:$B$163,0)))</f>
        <v>Yes</v>
      </c>
      <c r="H83" t="str">
        <f>IF(B83="","",INDEX('Player Board'!$M$4:$M$163,MATCH(B83,'Player Board'!$B$4:$B$163,0)))</f>
        <v>Late</v>
      </c>
      <c r="I83">
        <f>IF(B83="","",INDEX('Player Board'!$G$4:$G$163,MATCH(B83,'Player Board'!$B$4:$B$163,0)))</f>
        <v>141</v>
      </c>
      <c r="J83" s="1" t="str">
        <f>IF(B83="","",INDEX('Player Board'!$N$4:$N$163,MATCH(B83,'Player Board'!$B$4:$B$163,0)))</f>
        <v>Near KTC after adjusting for six keepers, taxi value, role security, and eight-team replacement depth.</v>
      </c>
      <c r="K83">
        <f>IF(B83="","",IFERROR(INDEX('Player Board'!$Q$4:$Q$163,MATCH(B83,'Player Board'!$B$4:$B$163,0)),""))</f>
        <v>79</v>
      </c>
      <c r="L83">
        <f t="shared" si="2"/>
        <v>-62</v>
      </c>
    </row>
    <row r="84" spans="1:12" ht="40.5">
      <c r="A84">
        <f>IFERROR(SMALL('Player Board'!$O$4:$O$163,80),"")</f>
        <v>142</v>
      </c>
      <c r="B84" t="str">
        <f>IF(OR(A84="",A84=9999),"",INDEX('Player Board'!$B$4:$B$163,MATCH(A84,'Player Board'!$H$4:$H$163,0)))</f>
        <v>Kenneth Gainwell</v>
      </c>
      <c r="C84" t="str">
        <f>IF(B84="","",INDEX('Player Board'!$C$4:$C$163,MATCH(B84,'Player Board'!$B$4:$B$163,0)))</f>
        <v>RB</v>
      </c>
      <c r="D84">
        <f>IF(B84="","",INDEX('Player Board'!$D$4:$D$163,MATCH(B84,'Player Board'!$B$4:$B$163,0)))</f>
        <v>40</v>
      </c>
      <c r="E84">
        <f>IF(B84="","",INDEX('Player Board'!$H$4:$H$163,MATCH(B84,'Player Board'!$B$4:$B$163,0)))</f>
        <v>142</v>
      </c>
      <c r="F84">
        <f>IF(B84="","",INDEX('Player Board'!$F$4:$F$163,MATCH(B84,'Player Board'!$B$4:$B$163,0)))</f>
        <v>10</v>
      </c>
      <c r="G84" t="str">
        <f>IF(B84="","",INDEX('Player Board'!$P$4:$P$163,MATCH(B84,'Player Board'!$B$4:$B$163,0)))</f>
        <v>No</v>
      </c>
      <c r="H84" t="str">
        <f>IF(B84="","",INDEX('Player Board'!$M$4:$M$163,MATCH(B84,'Player Board'!$B$4:$B$163,0)))</f>
        <v>Late</v>
      </c>
      <c r="I84">
        <f>IF(B84="","",INDEX('Player Board'!$G$4:$G$163,MATCH(B84,'Player Board'!$B$4:$B$163,0)))</f>
        <v>142</v>
      </c>
      <c r="J84" s="1" t="str">
        <f>IF(B84="","",INDEX('Player Board'!$N$4:$N$163,MATCH(B84,'Player Board'!$B$4:$B$163,0)))</f>
        <v>Near KTC after adjusting for six keepers, taxi value, role security, and eight-team replacement depth.</v>
      </c>
      <c r="K84">
        <f>IF(B84="","",IFERROR(INDEX('Player Board'!$Q$4:$Q$163,MATCH(B84,'Player Board'!$B$4:$B$163,0)),""))</f>
        <v>80</v>
      </c>
      <c r="L84">
        <f t="shared" si="2"/>
        <v>-62</v>
      </c>
    </row>
    <row r="85" spans="1:12" ht="40.5">
      <c r="A85">
        <f>IFERROR(SMALL('Player Board'!$O$4:$O$163,81),"")</f>
        <v>143</v>
      </c>
      <c r="B85" t="str">
        <f>IF(OR(A85="",A85=9999),"",INDEX('Player Board'!$B$4:$B$163,MATCH(A85,'Player Board'!$H$4:$H$163,0)))</f>
        <v>Aaron Jones</v>
      </c>
      <c r="C85" t="str">
        <f>IF(B85="","",INDEX('Player Board'!$C$4:$C$163,MATCH(B85,'Player Board'!$B$4:$B$163,0)))</f>
        <v>RB</v>
      </c>
      <c r="D85">
        <f>IF(B85="","",INDEX('Player Board'!$D$4:$D$163,MATCH(B85,'Player Board'!$B$4:$B$163,0)))</f>
        <v>41</v>
      </c>
      <c r="E85">
        <f>IF(B85="","",INDEX('Player Board'!$H$4:$H$163,MATCH(B85,'Player Board'!$B$4:$B$163,0)))</f>
        <v>143</v>
      </c>
      <c r="F85">
        <f>IF(B85="","",INDEX('Player Board'!$F$4:$F$163,MATCH(B85,'Player Board'!$B$4:$B$163,0)))</f>
        <v>10</v>
      </c>
      <c r="G85" t="str">
        <f>IF(B85="","",INDEX('Player Board'!$P$4:$P$163,MATCH(B85,'Player Board'!$B$4:$B$163,0)))</f>
        <v>No</v>
      </c>
      <c r="H85" t="str">
        <f>IF(B85="","",INDEX('Player Board'!$M$4:$M$163,MATCH(B85,'Player Board'!$B$4:$B$163,0)))</f>
        <v>Late</v>
      </c>
      <c r="I85">
        <f>IF(B85="","",INDEX('Player Board'!$G$4:$G$163,MATCH(B85,'Player Board'!$B$4:$B$163,0)))</f>
        <v>143</v>
      </c>
      <c r="J85" s="1" t="str">
        <f>IF(B85="","",INDEX('Player Board'!$N$4:$N$163,MATCH(B85,'Player Board'!$B$4:$B$163,0)))</f>
        <v>Near KTC after adjusting for six keepers, taxi value, role security, and eight-team replacement depth.</v>
      </c>
      <c r="K85">
        <f>IF(B85="","",IFERROR(INDEX('Player Board'!$Q$4:$Q$163,MATCH(B85,'Player Board'!$B$4:$B$163,0)),""))</f>
        <v>81</v>
      </c>
      <c r="L85">
        <f t="shared" si="2"/>
        <v>-62</v>
      </c>
    </row>
    <row r="86" spans="1:12" ht="40.5">
      <c r="A86">
        <f>IFERROR(SMALL('Player Board'!$O$4:$O$163,82),"")</f>
        <v>144</v>
      </c>
      <c r="B86" t="str">
        <f>IF(OR(A86="",A86=9999),"",INDEX('Player Board'!$B$4:$B$163,MATCH(A86,'Player Board'!$H$4:$H$163,0)))</f>
        <v>Jalen McMillan</v>
      </c>
      <c r="C86" t="str">
        <f>IF(B86="","",INDEX('Player Board'!$C$4:$C$163,MATCH(B86,'Player Board'!$B$4:$B$163,0)))</f>
        <v>WR</v>
      </c>
      <c r="D86">
        <f>IF(B86="","",INDEX('Player Board'!$D$4:$D$163,MATCH(B86,'Player Board'!$B$4:$B$163,0)))</f>
        <v>59</v>
      </c>
      <c r="E86">
        <f>IF(B86="","",INDEX('Player Board'!$H$4:$H$163,MATCH(B86,'Player Board'!$B$4:$B$163,0)))</f>
        <v>144</v>
      </c>
      <c r="F86">
        <f>IF(B86="","",INDEX('Player Board'!$F$4:$F$163,MATCH(B86,'Player Board'!$B$4:$B$163,0)))</f>
        <v>10</v>
      </c>
      <c r="G86" t="str">
        <f>IF(B86="","",INDEX('Player Board'!$P$4:$P$163,MATCH(B86,'Player Board'!$B$4:$B$163,0)))</f>
        <v>No</v>
      </c>
      <c r="H86" t="str">
        <f>IF(B86="","",INDEX('Player Board'!$M$4:$M$163,MATCH(B86,'Player Board'!$B$4:$B$163,0)))</f>
        <v>Late</v>
      </c>
      <c r="I86">
        <f>IF(B86="","",INDEX('Player Board'!$G$4:$G$163,MATCH(B86,'Player Board'!$B$4:$B$163,0)))</f>
        <v>144</v>
      </c>
      <c r="J86" s="1" t="str">
        <f>IF(B86="","",INDEX('Player Board'!$N$4:$N$163,MATCH(B86,'Player Board'!$B$4:$B$163,0)))</f>
        <v>Near KTC after adjusting for six keepers, taxi value, role security, and eight-team replacement depth.</v>
      </c>
      <c r="K86">
        <f>IF(B86="","",IFERROR(INDEX('Player Board'!$Q$4:$Q$163,MATCH(B86,'Player Board'!$B$4:$B$163,0)),""))</f>
        <v>82</v>
      </c>
      <c r="L86">
        <f t="shared" si="2"/>
        <v>-62</v>
      </c>
    </row>
    <row r="87" spans="1:12" ht="40.5">
      <c r="A87">
        <f>IFERROR(SMALL('Player Board'!$O$4:$O$163,83),"")</f>
        <v>145</v>
      </c>
      <c r="B87" t="str">
        <f>IF(OR(A87="",A87=9999),"",INDEX('Player Board'!$B$4:$B$163,MATCH(A87,'Player Board'!$H$4:$H$163,0)))</f>
        <v>Evan Engram</v>
      </c>
      <c r="C87" t="str">
        <f>IF(B87="","",INDEX('Player Board'!$C$4:$C$163,MATCH(B87,'Player Board'!$B$4:$B$163,0)))</f>
        <v>TE</v>
      </c>
      <c r="D87">
        <f>IF(B87="","",INDEX('Player Board'!$D$4:$D$163,MATCH(B87,'Player Board'!$B$4:$B$163,0)))</f>
        <v>17</v>
      </c>
      <c r="E87">
        <f>IF(B87="","",INDEX('Player Board'!$H$4:$H$163,MATCH(B87,'Player Board'!$B$4:$B$163,0)))</f>
        <v>145</v>
      </c>
      <c r="F87">
        <f>IF(B87="","",INDEX('Player Board'!$F$4:$F$163,MATCH(B87,'Player Board'!$B$4:$B$163,0)))</f>
        <v>10</v>
      </c>
      <c r="G87" t="str">
        <f>IF(B87="","",INDEX('Player Board'!$P$4:$P$163,MATCH(B87,'Player Board'!$B$4:$B$163,0)))</f>
        <v>No</v>
      </c>
      <c r="H87" t="str">
        <f>IF(B87="","",INDEX('Player Board'!$M$4:$M$163,MATCH(B87,'Player Board'!$B$4:$B$163,0)))</f>
        <v>Late</v>
      </c>
      <c r="I87">
        <f>IF(B87="","",INDEX('Player Board'!$G$4:$G$163,MATCH(B87,'Player Board'!$B$4:$B$163,0)))</f>
        <v>145</v>
      </c>
      <c r="J87" s="1" t="str">
        <f>IF(B87="","",INDEX('Player Board'!$N$4:$N$163,MATCH(B87,'Player Board'!$B$4:$B$163,0)))</f>
        <v>No TEP and shallow replacement depth require real weekly separation before paying a major premium.</v>
      </c>
      <c r="K87">
        <f>IF(B87="","",IFERROR(INDEX('Player Board'!$Q$4:$Q$163,MATCH(B87,'Player Board'!$B$4:$B$163,0)),""))</f>
        <v>83</v>
      </c>
      <c r="L87">
        <f t="shared" si="2"/>
        <v>-62</v>
      </c>
    </row>
    <row r="88" spans="1:12" ht="40.5">
      <c r="A88">
        <f>IFERROR(SMALL('Player Board'!$O$4:$O$163,84),"")</f>
        <v>146</v>
      </c>
      <c r="B88" t="str">
        <f>IF(OR(A88="",A88=9999),"",INDEX('Player Board'!$B$4:$B$163,MATCH(A88,'Player Board'!$H$4:$H$163,0)))</f>
        <v>Deebo Samuel</v>
      </c>
      <c r="C88" t="str">
        <f>IF(B88="","",INDEX('Player Board'!$C$4:$C$163,MATCH(B88,'Player Board'!$B$4:$B$163,0)))</f>
        <v>WR</v>
      </c>
      <c r="D88">
        <f>IF(B88="","",INDEX('Player Board'!$D$4:$D$163,MATCH(B88,'Player Board'!$B$4:$B$163,0)))</f>
        <v>60</v>
      </c>
      <c r="E88">
        <f>IF(B88="","",INDEX('Player Board'!$H$4:$H$163,MATCH(B88,'Player Board'!$B$4:$B$163,0)))</f>
        <v>146</v>
      </c>
      <c r="F88">
        <f>IF(B88="","",INDEX('Player Board'!$F$4:$F$163,MATCH(B88,'Player Board'!$B$4:$B$163,0)))</f>
        <v>10</v>
      </c>
      <c r="G88" t="str">
        <f>IF(B88="","",INDEX('Player Board'!$P$4:$P$163,MATCH(B88,'Player Board'!$B$4:$B$163,0)))</f>
        <v>No</v>
      </c>
      <c r="H88" t="str">
        <f>IF(B88="","",INDEX('Player Board'!$M$4:$M$163,MATCH(B88,'Player Board'!$B$4:$B$163,0)))</f>
        <v>Late</v>
      </c>
      <c r="I88">
        <f>IF(B88="","",INDEX('Player Board'!$G$4:$G$163,MATCH(B88,'Player Board'!$B$4:$B$163,0)))</f>
        <v>146</v>
      </c>
      <c r="J88" s="1" t="str">
        <f>IF(B88="","",INDEX('Player Board'!$N$4:$N$163,MATCH(B88,'Player Board'!$B$4:$B$163,0)))</f>
        <v>Near KTC after adjusting for six keepers, taxi value, role security, and eight-team replacement depth.</v>
      </c>
      <c r="K88">
        <f>IF(B88="","",IFERROR(INDEX('Player Board'!$Q$4:$Q$163,MATCH(B88,'Player Board'!$B$4:$B$163,0)),""))</f>
        <v>84</v>
      </c>
      <c r="L88">
        <f t="shared" si="2"/>
        <v>-62</v>
      </c>
    </row>
    <row r="89" spans="1:12" ht="40.5">
      <c r="A89">
        <f>IFERROR(SMALL('Player Board'!$O$4:$O$163,85),"")</f>
        <v>147</v>
      </c>
      <c r="B89" t="str">
        <f>IF(OR(A89="",A89=9999),"",INDEX('Player Board'!$B$4:$B$163,MATCH(A89,'Player Board'!$H$4:$H$163,0)))</f>
        <v>Tyjae Spears</v>
      </c>
      <c r="C89" t="str">
        <f>IF(B89="","",INDEX('Player Board'!$C$4:$C$163,MATCH(B89,'Player Board'!$B$4:$B$163,0)))</f>
        <v>RB</v>
      </c>
      <c r="D89">
        <f>IF(B89="","",INDEX('Player Board'!$D$4:$D$163,MATCH(B89,'Player Board'!$B$4:$B$163,0)))</f>
        <v>42</v>
      </c>
      <c r="E89">
        <f>IF(B89="","",INDEX('Player Board'!$H$4:$H$163,MATCH(B89,'Player Board'!$B$4:$B$163,0)))</f>
        <v>147</v>
      </c>
      <c r="F89">
        <f>IF(B89="","",INDEX('Player Board'!$F$4:$F$163,MATCH(B89,'Player Board'!$B$4:$B$163,0)))</f>
        <v>10</v>
      </c>
      <c r="G89" t="str">
        <f>IF(B89="","",INDEX('Player Board'!$P$4:$P$163,MATCH(B89,'Player Board'!$B$4:$B$163,0)))</f>
        <v>No</v>
      </c>
      <c r="H89" t="str">
        <f>IF(B89="","",INDEX('Player Board'!$M$4:$M$163,MATCH(B89,'Player Board'!$B$4:$B$163,0)))</f>
        <v>Late</v>
      </c>
      <c r="I89">
        <f>IF(B89="","",INDEX('Player Board'!$G$4:$G$163,MATCH(B89,'Player Board'!$B$4:$B$163,0)))</f>
        <v>147</v>
      </c>
      <c r="J89" s="1" t="str">
        <f>IF(B89="","",INDEX('Player Board'!$N$4:$N$163,MATCH(B89,'Player Board'!$B$4:$B$163,0)))</f>
        <v>Near KTC after adjusting for six keepers, taxi value, role security, and eight-team replacement depth.</v>
      </c>
      <c r="K89">
        <f>IF(B89="","",IFERROR(INDEX('Player Board'!$Q$4:$Q$163,MATCH(B89,'Player Board'!$B$4:$B$163,0)),""))</f>
        <v>85</v>
      </c>
      <c r="L89">
        <f t="shared" si="2"/>
        <v>-62</v>
      </c>
    </row>
    <row r="90" spans="1:12" ht="40.5">
      <c r="A90">
        <f>IFERROR(SMALL('Player Board'!$O$4:$O$163,86),"")</f>
        <v>148</v>
      </c>
      <c r="B90" t="str">
        <f>IF(OR(A90="",A90=9999),"",INDEX('Player Board'!$B$4:$B$163,MATCH(A90,'Player Board'!$H$4:$H$163,0)))</f>
        <v>Rashid Shaheed</v>
      </c>
      <c r="C90" t="str">
        <f>IF(B90="","",INDEX('Player Board'!$C$4:$C$163,MATCH(B90,'Player Board'!$B$4:$B$163,0)))</f>
        <v>WR</v>
      </c>
      <c r="D90">
        <f>IF(B90="","",INDEX('Player Board'!$D$4:$D$163,MATCH(B90,'Player Board'!$B$4:$B$163,0)))</f>
        <v>61</v>
      </c>
      <c r="E90">
        <f>IF(B90="","",INDEX('Player Board'!$H$4:$H$163,MATCH(B90,'Player Board'!$B$4:$B$163,0)))</f>
        <v>148</v>
      </c>
      <c r="F90">
        <f>IF(B90="","",INDEX('Player Board'!$F$4:$F$163,MATCH(B90,'Player Board'!$B$4:$B$163,0)))</f>
        <v>10</v>
      </c>
      <c r="G90" t="str">
        <f>IF(B90="","",INDEX('Player Board'!$P$4:$P$163,MATCH(B90,'Player Board'!$B$4:$B$163,0)))</f>
        <v>No</v>
      </c>
      <c r="H90" t="str">
        <f>IF(B90="","",INDEX('Player Board'!$M$4:$M$163,MATCH(B90,'Player Board'!$B$4:$B$163,0)))</f>
        <v>Late</v>
      </c>
      <c r="I90">
        <f>IF(B90="","",INDEX('Player Board'!$G$4:$G$163,MATCH(B90,'Player Board'!$B$4:$B$163,0)))</f>
        <v>148</v>
      </c>
      <c r="J90" s="1" t="str">
        <f>IF(B90="","",INDEX('Player Board'!$N$4:$N$163,MATCH(B90,'Player Board'!$B$4:$B$163,0)))</f>
        <v>Near KTC after adjusting for six keepers, taxi value, role security, and eight-team replacement depth.</v>
      </c>
      <c r="K90">
        <f>IF(B90="","",IFERROR(INDEX('Player Board'!$Q$4:$Q$163,MATCH(B90,'Player Board'!$B$4:$B$163,0)),""))</f>
        <v>86</v>
      </c>
      <c r="L90">
        <f t="shared" si="2"/>
        <v>-62</v>
      </c>
    </row>
    <row r="91" spans="1:12" ht="40.5">
      <c r="A91">
        <f>IFERROR(SMALL('Player Board'!$O$4:$O$163,87),"")</f>
        <v>149</v>
      </c>
      <c r="B91" t="str">
        <f>IF(OR(A91="",A91=9999),"",INDEX('Player Board'!$B$4:$B$163,MATCH(A91,'Player Board'!$H$4:$H$163,0)))</f>
        <v>Najee Harris</v>
      </c>
      <c r="C91" t="str">
        <f>IF(B91="","",INDEX('Player Board'!$C$4:$C$163,MATCH(B91,'Player Board'!$B$4:$B$163,0)))</f>
        <v>RB</v>
      </c>
      <c r="D91">
        <f>IF(B91="","",INDEX('Player Board'!$D$4:$D$163,MATCH(B91,'Player Board'!$B$4:$B$163,0)))</f>
        <v>43</v>
      </c>
      <c r="E91">
        <f>IF(B91="","",INDEX('Player Board'!$H$4:$H$163,MATCH(B91,'Player Board'!$B$4:$B$163,0)))</f>
        <v>149</v>
      </c>
      <c r="F91">
        <f>IF(B91="","",INDEX('Player Board'!$F$4:$F$163,MATCH(B91,'Player Board'!$B$4:$B$163,0)))</f>
        <v>10</v>
      </c>
      <c r="G91" t="str">
        <f>IF(B91="","",INDEX('Player Board'!$P$4:$P$163,MATCH(B91,'Player Board'!$B$4:$B$163,0)))</f>
        <v>No</v>
      </c>
      <c r="H91" t="str">
        <f>IF(B91="","",INDEX('Player Board'!$M$4:$M$163,MATCH(B91,'Player Board'!$B$4:$B$163,0)))</f>
        <v>Late</v>
      </c>
      <c r="I91">
        <f>IF(B91="","",INDEX('Player Board'!$G$4:$G$163,MATCH(B91,'Player Board'!$B$4:$B$163,0)))</f>
        <v>149</v>
      </c>
      <c r="J91" s="1" t="str">
        <f>IF(B91="","",INDEX('Player Board'!$N$4:$N$163,MATCH(B91,'Player Board'!$B$4:$B$163,0)))</f>
        <v>Near KTC after adjusting for six keepers, taxi value, role security, and eight-team replacement depth.</v>
      </c>
      <c r="K91">
        <f>IF(B91="","",IFERROR(INDEX('Player Board'!$Q$4:$Q$163,MATCH(B91,'Player Board'!$B$4:$B$163,0)),""))</f>
        <v>87</v>
      </c>
      <c r="L91">
        <f t="shared" si="2"/>
        <v>-62</v>
      </c>
    </row>
    <row r="92" spans="1:12" ht="40.5">
      <c r="A92">
        <f>IFERROR(SMALL('Player Board'!$O$4:$O$163,88),"")</f>
        <v>150</v>
      </c>
      <c r="B92" t="str">
        <f>IF(OR(A92="",A92=9999),"",INDEX('Player Board'!$B$4:$B$163,MATCH(A92,'Player Board'!$H$4:$H$163,0)))</f>
        <v>Jaydon Blue</v>
      </c>
      <c r="C92" t="str">
        <f>IF(B92="","",INDEX('Player Board'!$C$4:$C$163,MATCH(B92,'Player Board'!$B$4:$B$163,0)))</f>
        <v>RB</v>
      </c>
      <c r="D92">
        <f>IF(B92="","",INDEX('Player Board'!$D$4:$D$163,MATCH(B92,'Player Board'!$B$4:$B$163,0)))</f>
        <v>44</v>
      </c>
      <c r="E92">
        <f>IF(B92="","",INDEX('Player Board'!$H$4:$H$163,MATCH(B92,'Player Board'!$B$4:$B$163,0)))</f>
        <v>150</v>
      </c>
      <c r="F92">
        <f>IF(B92="","",INDEX('Player Board'!$F$4:$F$163,MATCH(B92,'Player Board'!$B$4:$B$163,0)))</f>
        <v>10</v>
      </c>
      <c r="G92" t="str">
        <f>IF(B92="","",INDEX('Player Board'!$P$4:$P$163,MATCH(B92,'Player Board'!$B$4:$B$163,0)))</f>
        <v>No</v>
      </c>
      <c r="H92" t="str">
        <f>IF(B92="","",INDEX('Player Board'!$M$4:$M$163,MATCH(B92,'Player Board'!$B$4:$B$163,0)))</f>
        <v>Late</v>
      </c>
      <c r="I92">
        <f>IF(B92="","",INDEX('Player Board'!$G$4:$G$163,MATCH(B92,'Player Board'!$B$4:$B$163,0)))</f>
        <v>150</v>
      </c>
      <c r="J92" s="1" t="str">
        <f>IF(B92="","",INDEX('Player Board'!$N$4:$N$163,MATCH(B92,'Player Board'!$B$4:$B$163,0)))</f>
        <v>Near KTC after adjusting for six keepers, taxi value, role security, and eight-team replacement depth.</v>
      </c>
      <c r="K92">
        <f>IF(B92="","",IFERROR(INDEX('Player Board'!$Q$4:$Q$163,MATCH(B92,'Player Board'!$B$4:$B$163,0)),""))</f>
        <v>88</v>
      </c>
      <c r="L92">
        <f t="shared" si="2"/>
        <v>-62</v>
      </c>
    </row>
    <row r="93" spans="1:12" ht="40.5">
      <c r="A93">
        <f>IFERROR(SMALL('Player Board'!$O$4:$O$163,89),"")</f>
        <v>151</v>
      </c>
      <c r="B93" t="str">
        <f>IF(OR(A93="",A93=9999),"",INDEX('Player Board'!$B$4:$B$163,MATCH(A93,'Player Board'!$H$4:$H$163,0)))</f>
        <v>Rashod Bateman</v>
      </c>
      <c r="C93" t="str">
        <f>IF(B93="","",INDEX('Player Board'!$C$4:$C$163,MATCH(B93,'Player Board'!$B$4:$B$163,0)))</f>
        <v>WR</v>
      </c>
      <c r="D93">
        <f>IF(B93="","",INDEX('Player Board'!$D$4:$D$163,MATCH(B93,'Player Board'!$B$4:$B$163,0)))</f>
        <v>62</v>
      </c>
      <c r="E93">
        <f>IF(B93="","",INDEX('Player Board'!$H$4:$H$163,MATCH(B93,'Player Board'!$B$4:$B$163,0)))</f>
        <v>151</v>
      </c>
      <c r="F93">
        <f>IF(B93="","",INDEX('Player Board'!$F$4:$F$163,MATCH(B93,'Player Board'!$B$4:$B$163,0)))</f>
        <v>10</v>
      </c>
      <c r="G93" t="str">
        <f>IF(B93="","",INDEX('Player Board'!$P$4:$P$163,MATCH(B93,'Player Board'!$B$4:$B$163,0)))</f>
        <v>No</v>
      </c>
      <c r="H93" t="str">
        <f>IF(B93="","",INDEX('Player Board'!$M$4:$M$163,MATCH(B93,'Player Board'!$B$4:$B$163,0)))</f>
        <v>Late</v>
      </c>
      <c r="I93">
        <f>IF(B93="","",INDEX('Player Board'!$G$4:$G$163,MATCH(B93,'Player Board'!$B$4:$B$163,0)))</f>
        <v>151</v>
      </c>
      <c r="J93" s="1" t="str">
        <f>IF(B93="","",INDEX('Player Board'!$N$4:$N$163,MATCH(B93,'Player Board'!$B$4:$B$163,0)))</f>
        <v>Near KTC after adjusting for six keepers, taxi value, role security, and eight-team replacement depth.</v>
      </c>
      <c r="K93">
        <f>IF(B93="","",IFERROR(INDEX('Player Board'!$Q$4:$Q$163,MATCH(B93,'Player Board'!$B$4:$B$163,0)),""))</f>
        <v>89</v>
      </c>
      <c r="L93">
        <f t="shared" si="2"/>
        <v>-62</v>
      </c>
    </row>
    <row r="94" spans="1:12" ht="40.5">
      <c r="A94">
        <f>IFERROR(SMALL('Player Board'!$O$4:$O$163,90),"")</f>
        <v>152</v>
      </c>
      <c r="B94" t="str">
        <f>IF(OR(A94="",A94=9999),"",INDEX('Player Board'!$B$4:$B$163,MATCH(A94,'Player Board'!$H$4:$H$163,0)))</f>
        <v>Keon Coleman</v>
      </c>
      <c r="C94" t="str">
        <f>IF(B94="","",INDEX('Player Board'!$C$4:$C$163,MATCH(B94,'Player Board'!$B$4:$B$163,0)))</f>
        <v>WR</v>
      </c>
      <c r="D94">
        <f>IF(B94="","",INDEX('Player Board'!$D$4:$D$163,MATCH(B94,'Player Board'!$B$4:$B$163,0)))</f>
        <v>63</v>
      </c>
      <c r="E94">
        <f>IF(B94="","",INDEX('Player Board'!$H$4:$H$163,MATCH(B94,'Player Board'!$B$4:$B$163,0)))</f>
        <v>152</v>
      </c>
      <c r="F94">
        <f>IF(B94="","",INDEX('Player Board'!$F$4:$F$163,MATCH(B94,'Player Board'!$B$4:$B$163,0)))</f>
        <v>10</v>
      </c>
      <c r="G94" t="str">
        <f>IF(B94="","",INDEX('Player Board'!$P$4:$P$163,MATCH(B94,'Player Board'!$B$4:$B$163,0)))</f>
        <v>No</v>
      </c>
      <c r="H94" t="str">
        <f>IF(B94="","",INDEX('Player Board'!$M$4:$M$163,MATCH(B94,'Player Board'!$B$4:$B$163,0)))</f>
        <v>Late</v>
      </c>
      <c r="I94">
        <f>IF(B94="","",INDEX('Player Board'!$G$4:$G$163,MATCH(B94,'Player Board'!$B$4:$B$163,0)))</f>
        <v>152</v>
      </c>
      <c r="J94" s="1" t="str">
        <f>IF(B94="","",INDEX('Player Board'!$N$4:$N$163,MATCH(B94,'Player Board'!$B$4:$B$163,0)))</f>
        <v>Near KTC after adjusting for six keepers, taxi value, role security, and eight-team replacement depth.</v>
      </c>
      <c r="K94">
        <f>IF(B94="","",IFERROR(INDEX('Player Board'!$Q$4:$Q$163,MATCH(B94,'Player Board'!$B$4:$B$163,0)),""))</f>
        <v>90</v>
      </c>
      <c r="L94">
        <f t="shared" si="2"/>
        <v>-62</v>
      </c>
    </row>
    <row r="95" spans="1:12" ht="40.5">
      <c r="A95">
        <f>IFERROR(SMALL('Player Board'!$O$4:$O$163,91),"")</f>
        <v>153</v>
      </c>
      <c r="B95" t="str">
        <f>IF(OR(A95="",A95=9999),"",INDEX('Player Board'!$B$4:$B$163,MATCH(A95,'Player Board'!$H$4:$H$163,0)))</f>
        <v>Tank Dell</v>
      </c>
      <c r="C95" t="str">
        <f>IF(B95="","",INDEX('Player Board'!$C$4:$C$163,MATCH(B95,'Player Board'!$B$4:$B$163,0)))</f>
        <v>WR</v>
      </c>
      <c r="D95">
        <f>IF(B95="","",INDEX('Player Board'!$D$4:$D$163,MATCH(B95,'Player Board'!$B$4:$B$163,0)))</f>
        <v>64</v>
      </c>
      <c r="E95">
        <f>IF(B95="","",INDEX('Player Board'!$H$4:$H$163,MATCH(B95,'Player Board'!$B$4:$B$163,0)))</f>
        <v>153</v>
      </c>
      <c r="F95">
        <f>IF(B95="","",INDEX('Player Board'!$F$4:$F$163,MATCH(B95,'Player Board'!$B$4:$B$163,0)))</f>
        <v>10</v>
      </c>
      <c r="G95" t="str">
        <f>IF(B95="","",INDEX('Player Board'!$P$4:$P$163,MATCH(B95,'Player Board'!$B$4:$B$163,0)))</f>
        <v>No</v>
      </c>
      <c r="H95" t="str">
        <f>IF(B95="","",INDEX('Player Board'!$M$4:$M$163,MATCH(B95,'Player Board'!$B$4:$B$163,0)))</f>
        <v>Late</v>
      </c>
      <c r="I95">
        <f>IF(B95="","",INDEX('Player Board'!$G$4:$G$163,MATCH(B95,'Player Board'!$B$4:$B$163,0)))</f>
        <v>153</v>
      </c>
      <c r="J95" s="1" t="str">
        <f>IF(B95="","",INDEX('Player Board'!$N$4:$N$163,MATCH(B95,'Player Board'!$B$4:$B$163,0)))</f>
        <v>Near KTC after adjusting for six keepers, taxi value, role security, and eight-team replacement depth.</v>
      </c>
      <c r="K95">
        <f>IF(B95="","",IFERROR(INDEX('Player Board'!$Q$4:$Q$163,MATCH(B95,'Player Board'!$B$4:$B$163,0)),""))</f>
        <v>91</v>
      </c>
      <c r="L95">
        <f t="shared" si="2"/>
        <v>-62</v>
      </c>
    </row>
    <row r="96" spans="1:12" ht="40.5">
      <c r="A96">
        <f>IFERROR(SMALL('Player Board'!$O$4:$O$163,92),"")</f>
        <v>154</v>
      </c>
      <c r="B96" t="str">
        <f>IF(OR(A96="",A96=9999),"",INDEX('Player Board'!$B$4:$B$163,MATCH(A96,'Player Board'!$H$4:$H$163,0)))</f>
        <v>Tre Harris</v>
      </c>
      <c r="C96" t="str">
        <f>IF(B96="","",INDEX('Player Board'!$C$4:$C$163,MATCH(B96,'Player Board'!$B$4:$B$163,0)))</f>
        <v>WR</v>
      </c>
      <c r="D96">
        <f>IF(B96="","",INDEX('Player Board'!$D$4:$D$163,MATCH(B96,'Player Board'!$B$4:$B$163,0)))</f>
        <v>65</v>
      </c>
      <c r="E96">
        <f>IF(B96="","",INDEX('Player Board'!$H$4:$H$163,MATCH(B96,'Player Board'!$B$4:$B$163,0)))</f>
        <v>154</v>
      </c>
      <c r="F96">
        <f>IF(B96="","",INDEX('Player Board'!$F$4:$F$163,MATCH(B96,'Player Board'!$B$4:$B$163,0)))</f>
        <v>10</v>
      </c>
      <c r="G96" t="str">
        <f>IF(B96="","",INDEX('Player Board'!$P$4:$P$163,MATCH(B96,'Player Board'!$B$4:$B$163,0)))</f>
        <v>No</v>
      </c>
      <c r="H96" t="str">
        <f>IF(B96="","",INDEX('Player Board'!$M$4:$M$163,MATCH(B96,'Player Board'!$B$4:$B$163,0)))</f>
        <v>Late</v>
      </c>
      <c r="I96">
        <f>IF(B96="","",INDEX('Player Board'!$G$4:$G$163,MATCH(B96,'Player Board'!$B$4:$B$163,0)))</f>
        <v>154</v>
      </c>
      <c r="J96" s="1" t="str">
        <f>IF(B96="","",INDEX('Player Board'!$N$4:$N$163,MATCH(B96,'Player Board'!$B$4:$B$163,0)))</f>
        <v>Near KTC after adjusting for six keepers, taxi value, role security, and eight-team replacement depth.</v>
      </c>
      <c r="K96">
        <f>IF(B96="","",IFERROR(INDEX('Player Board'!$Q$4:$Q$163,MATCH(B96,'Player Board'!$B$4:$B$163,0)),""))</f>
        <v>92</v>
      </c>
      <c r="L96">
        <f t="shared" si="2"/>
        <v>-62</v>
      </c>
    </row>
    <row r="97" spans="1:12" ht="40.5">
      <c r="A97">
        <f>IFERROR(SMALL('Player Board'!$O$4:$O$163,93),"")</f>
        <v>155</v>
      </c>
      <c r="B97" t="str">
        <f>IF(OR(A97="",A97=9999),"",INDEX('Player Board'!$B$4:$B$163,MATCH(A97,'Player Board'!$H$4:$H$163,0)))</f>
        <v>Mason Taylor</v>
      </c>
      <c r="C97" t="str">
        <f>IF(B97="","",INDEX('Player Board'!$C$4:$C$163,MATCH(B97,'Player Board'!$B$4:$B$163,0)))</f>
        <v>TE</v>
      </c>
      <c r="D97">
        <f>IF(B97="","",INDEX('Player Board'!$D$4:$D$163,MATCH(B97,'Player Board'!$B$4:$B$163,0)))</f>
        <v>18</v>
      </c>
      <c r="E97">
        <f>IF(B97="","",INDEX('Player Board'!$H$4:$H$163,MATCH(B97,'Player Board'!$B$4:$B$163,0)))</f>
        <v>155</v>
      </c>
      <c r="F97">
        <f>IF(B97="","",INDEX('Player Board'!$F$4:$F$163,MATCH(B97,'Player Board'!$B$4:$B$163,0)))</f>
        <v>10</v>
      </c>
      <c r="G97" t="str">
        <f>IF(B97="","",INDEX('Player Board'!$P$4:$P$163,MATCH(B97,'Player Board'!$B$4:$B$163,0)))</f>
        <v>No</v>
      </c>
      <c r="H97" t="str">
        <f>IF(B97="","",INDEX('Player Board'!$M$4:$M$163,MATCH(B97,'Player Board'!$B$4:$B$163,0)))</f>
        <v>Late</v>
      </c>
      <c r="I97">
        <f>IF(B97="","",INDEX('Player Board'!$G$4:$G$163,MATCH(B97,'Player Board'!$B$4:$B$163,0)))</f>
        <v>155</v>
      </c>
      <c r="J97" s="1" t="str">
        <f>IF(B97="","",INDEX('Player Board'!$N$4:$N$163,MATCH(B97,'Player Board'!$B$4:$B$163,0)))</f>
        <v>No TEP and shallow replacement depth require real weekly separation before paying a major premium.</v>
      </c>
      <c r="K97">
        <f>IF(B97="","",IFERROR(INDEX('Player Board'!$Q$4:$Q$163,MATCH(B97,'Player Board'!$B$4:$B$163,0)),""))</f>
        <v>93</v>
      </c>
      <c r="L97">
        <f t="shared" si="2"/>
        <v>-62</v>
      </c>
    </row>
    <row r="98" spans="1:12" ht="40.5">
      <c r="A98">
        <f>IFERROR(SMALL('Player Board'!$O$4:$O$163,94),"")</f>
        <v>156</v>
      </c>
      <c r="B98" t="str">
        <f>IF(OR(A98="",A98=9999),"",INDEX('Player Board'!$B$4:$B$163,MATCH(A98,'Player Board'!$H$4:$H$163,0)))</f>
        <v>MarShawn Lloyd</v>
      </c>
      <c r="C98" t="str">
        <f>IF(B98="","",INDEX('Player Board'!$C$4:$C$163,MATCH(B98,'Player Board'!$B$4:$B$163,0)))</f>
        <v>RB</v>
      </c>
      <c r="D98">
        <f>IF(B98="","",INDEX('Player Board'!$D$4:$D$163,MATCH(B98,'Player Board'!$B$4:$B$163,0)))</f>
        <v>45</v>
      </c>
      <c r="E98">
        <f>IF(B98="","",INDEX('Player Board'!$H$4:$H$163,MATCH(B98,'Player Board'!$B$4:$B$163,0)))</f>
        <v>156</v>
      </c>
      <c r="F98">
        <f>IF(B98="","",INDEX('Player Board'!$F$4:$F$163,MATCH(B98,'Player Board'!$B$4:$B$163,0)))</f>
        <v>10</v>
      </c>
      <c r="G98" t="str">
        <f>IF(B98="","",INDEX('Player Board'!$P$4:$P$163,MATCH(B98,'Player Board'!$B$4:$B$163,0)))</f>
        <v>No</v>
      </c>
      <c r="H98" t="str">
        <f>IF(B98="","",INDEX('Player Board'!$M$4:$M$163,MATCH(B98,'Player Board'!$B$4:$B$163,0)))</f>
        <v>Late</v>
      </c>
      <c r="I98">
        <f>IF(B98="","",INDEX('Player Board'!$G$4:$G$163,MATCH(B98,'Player Board'!$B$4:$B$163,0)))</f>
        <v>156</v>
      </c>
      <c r="J98" s="1" t="str">
        <f>IF(B98="","",INDEX('Player Board'!$N$4:$N$163,MATCH(B98,'Player Board'!$B$4:$B$163,0)))</f>
        <v>Near KTC after adjusting for six keepers, taxi value, role security, and eight-team replacement depth.</v>
      </c>
      <c r="K98">
        <f>IF(B98="","",IFERROR(INDEX('Player Board'!$Q$4:$Q$163,MATCH(B98,'Player Board'!$B$4:$B$163,0)),""))</f>
        <v>94</v>
      </c>
      <c r="L98">
        <f t="shared" si="2"/>
        <v>-62</v>
      </c>
    </row>
    <row r="99" spans="1:12" ht="40.5">
      <c r="A99">
        <f>IFERROR(SMALL('Player Board'!$O$4:$O$163,95),"")</f>
        <v>157</v>
      </c>
      <c r="B99" t="str">
        <f>IF(OR(A99="",A99=9999),"",INDEX('Player Board'!$B$4:$B$163,MATCH(A99,'Player Board'!$H$4:$H$163,0)))</f>
        <v>Trey Benson</v>
      </c>
      <c r="C99" t="str">
        <f>IF(B99="","",INDEX('Player Board'!$C$4:$C$163,MATCH(B99,'Player Board'!$B$4:$B$163,0)))</f>
        <v>RB</v>
      </c>
      <c r="D99">
        <f>IF(B99="","",INDEX('Player Board'!$D$4:$D$163,MATCH(B99,'Player Board'!$B$4:$B$163,0)))</f>
        <v>46</v>
      </c>
      <c r="E99">
        <f>IF(B99="","",INDEX('Player Board'!$H$4:$H$163,MATCH(B99,'Player Board'!$B$4:$B$163,0)))</f>
        <v>157</v>
      </c>
      <c r="F99">
        <f>IF(B99="","",INDEX('Player Board'!$F$4:$F$163,MATCH(B99,'Player Board'!$B$4:$B$163,0)))</f>
        <v>10</v>
      </c>
      <c r="G99" t="str">
        <f>IF(B99="","",INDEX('Player Board'!$P$4:$P$163,MATCH(B99,'Player Board'!$B$4:$B$163,0)))</f>
        <v>No</v>
      </c>
      <c r="H99" t="str">
        <f>IF(B99="","",INDEX('Player Board'!$M$4:$M$163,MATCH(B99,'Player Board'!$B$4:$B$163,0)))</f>
        <v>Late</v>
      </c>
      <c r="I99">
        <f>IF(B99="","",INDEX('Player Board'!$G$4:$G$163,MATCH(B99,'Player Board'!$B$4:$B$163,0)))</f>
        <v>157</v>
      </c>
      <c r="J99" s="1" t="str">
        <f>IF(B99="","",INDEX('Player Board'!$N$4:$N$163,MATCH(B99,'Player Board'!$B$4:$B$163,0)))</f>
        <v>Near KTC after adjusting for six keepers, taxi value, role security, and eight-team replacement depth.</v>
      </c>
      <c r="K99">
        <f>IF(B99="","",IFERROR(INDEX('Player Board'!$Q$4:$Q$163,MATCH(B99,'Player Board'!$B$4:$B$163,0)),""))</f>
        <v>95</v>
      </c>
      <c r="L99">
        <f t="shared" si="2"/>
        <v>-62</v>
      </c>
    </row>
    <row r="100" spans="1:12" ht="40.5">
      <c r="A100">
        <f>IFERROR(SMALL('Player Board'!$O$4:$O$163,96),"")</f>
        <v>159</v>
      </c>
      <c r="B100" t="str">
        <f>IF(OR(A100="",A100=9999),"",INDEX('Player Board'!$B$4:$B$163,MATCH(A100,'Player Board'!$H$4:$H$163,0)))</f>
        <v>Pat Bryant</v>
      </c>
      <c r="C100" t="str">
        <f>IF(B100="","",INDEX('Player Board'!$C$4:$C$163,MATCH(B100,'Player Board'!$B$4:$B$163,0)))</f>
        <v>WR</v>
      </c>
      <c r="D100">
        <f>IF(B100="","",INDEX('Player Board'!$D$4:$D$163,MATCH(B100,'Player Board'!$B$4:$B$163,0)))</f>
        <v>66</v>
      </c>
      <c r="E100">
        <f>IF(B100="","",INDEX('Player Board'!$H$4:$H$163,MATCH(B100,'Player Board'!$B$4:$B$163,0)))</f>
        <v>159</v>
      </c>
      <c r="F100">
        <f>IF(B100="","",INDEX('Player Board'!$F$4:$F$163,MATCH(B100,'Player Board'!$B$4:$B$163,0)))</f>
        <v>10</v>
      </c>
      <c r="G100" t="str">
        <f>IF(B100="","",INDEX('Player Board'!$P$4:$P$163,MATCH(B100,'Player Board'!$B$4:$B$163,0)))</f>
        <v>No</v>
      </c>
      <c r="H100" t="str">
        <f>IF(B100="","",INDEX('Player Board'!$M$4:$M$163,MATCH(B100,'Player Board'!$B$4:$B$163,0)))</f>
        <v>Late</v>
      </c>
      <c r="I100">
        <f>IF(B100="","",INDEX('Player Board'!$G$4:$G$163,MATCH(B100,'Player Board'!$B$4:$B$163,0)))</f>
        <v>159</v>
      </c>
      <c r="J100" s="1" t="str">
        <f>IF(B100="","",INDEX('Player Board'!$N$4:$N$163,MATCH(B100,'Player Board'!$B$4:$B$163,0)))</f>
        <v>Near KTC after adjusting for six keepers, taxi value, role security, and eight-team replacement depth.</v>
      </c>
      <c r="K100">
        <f>IF(B100="","",IFERROR(INDEX('Player Board'!$Q$4:$Q$163,MATCH(B100,'Player Board'!$B$4:$B$163,0)),""))</f>
        <v>96</v>
      </c>
      <c r="L100">
        <f t="shared" si="2"/>
        <v>-63</v>
      </c>
    </row>
    <row r="101" spans="1:12" ht="40.5">
      <c r="A101">
        <f>IFERROR(SMALL('Player Board'!$O$4:$O$163,97),"")</f>
        <v>160</v>
      </c>
      <c r="B101" t="str">
        <f>IF(OR(A101="",A101=9999),"",INDEX('Player Board'!$B$4:$B$163,MATCH(A101,'Player Board'!$H$4:$H$163,0)))</f>
        <v>Jalen Royals</v>
      </c>
      <c r="C101" t="str">
        <f>IF(B101="","",INDEX('Player Board'!$C$4:$C$163,MATCH(B101,'Player Board'!$B$4:$B$163,0)))</f>
        <v>WR</v>
      </c>
      <c r="D101">
        <f>IF(B101="","",INDEX('Player Board'!$D$4:$D$163,MATCH(B101,'Player Board'!$B$4:$B$163,0)))</f>
        <v>67</v>
      </c>
      <c r="E101">
        <f>IF(B101="","",INDEX('Player Board'!$H$4:$H$163,MATCH(B101,'Player Board'!$B$4:$B$163,0)))</f>
        <v>160</v>
      </c>
      <c r="F101">
        <f>IF(B101="","",INDEX('Player Board'!$F$4:$F$163,MATCH(B101,'Player Board'!$B$4:$B$163,0)))</f>
        <v>10</v>
      </c>
      <c r="G101" t="str">
        <f>IF(B101="","",INDEX('Player Board'!$P$4:$P$163,MATCH(B101,'Player Board'!$B$4:$B$163,0)))</f>
        <v>No</v>
      </c>
      <c r="H101" t="str">
        <f>IF(B101="","",INDEX('Player Board'!$M$4:$M$163,MATCH(B101,'Player Board'!$B$4:$B$163,0)))</f>
        <v>Late</v>
      </c>
      <c r="I101">
        <f>IF(B101="","",INDEX('Player Board'!$G$4:$G$163,MATCH(B101,'Player Board'!$B$4:$B$163,0)))</f>
        <v>160</v>
      </c>
      <c r="J101" s="1" t="str">
        <f>IF(B101="","",INDEX('Player Board'!$N$4:$N$163,MATCH(B101,'Player Board'!$B$4:$B$163,0)))</f>
        <v>Near KTC after adjusting for six keepers, taxi value, role security, and eight-team replacement depth.</v>
      </c>
      <c r="K101">
        <f>IF(B101="","",IFERROR(INDEX('Player Board'!$Q$4:$Q$163,MATCH(B101,'Player Board'!$B$4:$B$163,0)),""))</f>
        <v>97</v>
      </c>
      <c r="L101">
        <f t="shared" ref="L101:L132" si="3">IF(OR(E101="",K101=""),"",K101-E101)</f>
        <v>-63</v>
      </c>
    </row>
    <row r="102" spans="1:12">
      <c r="A102">
        <f>IFERROR(SMALL('Player Board'!$O$4:$O$163,98),"")</f>
        <v>9999</v>
      </c>
      <c r="B102" t="str">
        <f>IF(OR(A102="",A102=9999),"",INDEX('Player Board'!$B$4:$B$163,MATCH(A102,'Player Board'!$H$4:$H$163,0)))</f>
        <v/>
      </c>
      <c r="C102" t="str">
        <f>IF(B102="","",INDEX('Player Board'!$C$4:$C$163,MATCH(B102,'Player Board'!$B$4:$B$163,0)))</f>
        <v/>
      </c>
      <c r="D102" t="str">
        <f>IF(B102="","",INDEX('Player Board'!$D$4:$D$163,MATCH(B102,'Player Board'!$B$4:$B$163,0)))</f>
        <v/>
      </c>
      <c r="E102" t="str">
        <f>IF(B102="","",INDEX('Player Board'!$H$4:$H$163,MATCH(B102,'Player Board'!$B$4:$B$163,0)))</f>
        <v/>
      </c>
      <c r="F102" t="str">
        <f>IF(B102="","",INDEX('Player Board'!$F$4:$F$163,MATCH(B102,'Player Board'!$B$4:$B$163,0)))</f>
        <v/>
      </c>
      <c r="G102" t="str">
        <f>IF(B102="","",INDEX('Player Board'!$P$4:$P$163,MATCH(B102,'Player Board'!$B$4:$B$163,0)))</f>
        <v/>
      </c>
      <c r="H102" t="str">
        <f>IF(B102="","",INDEX('Player Board'!$M$4:$M$163,MATCH(B102,'Player Board'!$B$4:$B$163,0)))</f>
        <v/>
      </c>
      <c r="I102" t="str">
        <f>IF(B102="","",INDEX('Player Board'!$G$4:$G$163,MATCH(B102,'Player Board'!$B$4:$B$163,0)))</f>
        <v/>
      </c>
      <c r="J102" s="1" t="str">
        <f>IF(B102="","",INDEX('Player Board'!$N$4:$N$163,MATCH(B102,'Player Board'!$B$4:$B$163,0)))</f>
        <v/>
      </c>
      <c r="K102" t="str">
        <f>IF(B102="","",IFERROR(INDEX('Player Board'!$Q$4:$Q$163,MATCH(B102,'Player Board'!$B$4:$B$163,0)),""))</f>
        <v/>
      </c>
      <c r="L102" t="str">
        <f t="shared" si="3"/>
        <v/>
      </c>
    </row>
    <row r="103" spans="1:12">
      <c r="A103">
        <f>IFERROR(SMALL('Player Board'!$O$4:$O$163,99),"")</f>
        <v>9999</v>
      </c>
      <c r="B103" t="str">
        <f>IF(OR(A103="",A103=9999),"",INDEX('Player Board'!$B$4:$B$163,MATCH(A103,'Player Board'!$H$4:$H$163,0)))</f>
        <v/>
      </c>
      <c r="C103" t="str">
        <f>IF(B103="","",INDEX('Player Board'!$C$4:$C$163,MATCH(B103,'Player Board'!$B$4:$B$163,0)))</f>
        <v/>
      </c>
      <c r="D103" t="str">
        <f>IF(B103="","",INDEX('Player Board'!$D$4:$D$163,MATCH(B103,'Player Board'!$B$4:$B$163,0)))</f>
        <v/>
      </c>
      <c r="E103" t="str">
        <f>IF(B103="","",INDEX('Player Board'!$H$4:$H$163,MATCH(B103,'Player Board'!$B$4:$B$163,0)))</f>
        <v/>
      </c>
      <c r="F103" t="str">
        <f>IF(B103="","",INDEX('Player Board'!$F$4:$F$163,MATCH(B103,'Player Board'!$B$4:$B$163,0)))</f>
        <v/>
      </c>
      <c r="G103" t="str">
        <f>IF(B103="","",INDEX('Player Board'!$P$4:$P$163,MATCH(B103,'Player Board'!$B$4:$B$163,0)))</f>
        <v/>
      </c>
      <c r="H103" t="str">
        <f>IF(B103="","",INDEX('Player Board'!$M$4:$M$163,MATCH(B103,'Player Board'!$B$4:$B$163,0)))</f>
        <v/>
      </c>
      <c r="I103" t="str">
        <f>IF(B103="","",INDEX('Player Board'!$G$4:$G$163,MATCH(B103,'Player Board'!$B$4:$B$163,0)))</f>
        <v/>
      </c>
      <c r="J103" s="1" t="str">
        <f>IF(B103="","",INDEX('Player Board'!$N$4:$N$163,MATCH(B103,'Player Board'!$B$4:$B$163,0)))</f>
        <v/>
      </c>
      <c r="K103" t="str">
        <f>IF(B103="","",IFERROR(INDEX('Player Board'!$Q$4:$Q$163,MATCH(B103,'Player Board'!$B$4:$B$163,0)),""))</f>
        <v/>
      </c>
      <c r="L103" t="str">
        <f t="shared" si="3"/>
        <v/>
      </c>
    </row>
    <row r="104" spans="1:12">
      <c r="A104">
        <f>IFERROR(SMALL('Player Board'!$O$4:$O$163,100),"")</f>
        <v>9999</v>
      </c>
      <c r="B104" t="str">
        <f>IF(OR(A104="",A104=9999),"",INDEX('Player Board'!$B$4:$B$163,MATCH(A104,'Player Board'!$H$4:$H$163,0)))</f>
        <v/>
      </c>
      <c r="C104" t="str">
        <f>IF(B104="","",INDEX('Player Board'!$C$4:$C$163,MATCH(B104,'Player Board'!$B$4:$B$163,0)))</f>
        <v/>
      </c>
      <c r="D104" t="str">
        <f>IF(B104="","",INDEX('Player Board'!$D$4:$D$163,MATCH(B104,'Player Board'!$B$4:$B$163,0)))</f>
        <v/>
      </c>
      <c r="E104" t="str">
        <f>IF(B104="","",INDEX('Player Board'!$H$4:$H$163,MATCH(B104,'Player Board'!$B$4:$B$163,0)))</f>
        <v/>
      </c>
      <c r="F104" t="str">
        <f>IF(B104="","",INDEX('Player Board'!$F$4:$F$163,MATCH(B104,'Player Board'!$B$4:$B$163,0)))</f>
        <v/>
      </c>
      <c r="G104" t="str">
        <f>IF(B104="","",INDEX('Player Board'!$P$4:$P$163,MATCH(B104,'Player Board'!$B$4:$B$163,0)))</f>
        <v/>
      </c>
      <c r="H104" t="str">
        <f>IF(B104="","",INDEX('Player Board'!$M$4:$M$163,MATCH(B104,'Player Board'!$B$4:$B$163,0)))</f>
        <v/>
      </c>
      <c r="I104" t="str">
        <f>IF(B104="","",INDEX('Player Board'!$G$4:$G$163,MATCH(B104,'Player Board'!$B$4:$B$163,0)))</f>
        <v/>
      </c>
      <c r="J104" s="1" t="str">
        <f>IF(B104="","",INDEX('Player Board'!$N$4:$N$163,MATCH(B104,'Player Board'!$B$4:$B$163,0)))</f>
        <v/>
      </c>
      <c r="K104" t="str">
        <f>IF(B104="","",IFERROR(INDEX('Player Board'!$Q$4:$Q$163,MATCH(B104,'Player Board'!$B$4:$B$163,0)),""))</f>
        <v/>
      </c>
      <c r="L104" t="str">
        <f t="shared" si="3"/>
        <v/>
      </c>
    </row>
    <row r="105" spans="1:12">
      <c r="A105">
        <f>IFERROR(SMALL('Player Board'!$O$4:$O$163,101),"")</f>
        <v>9999</v>
      </c>
      <c r="B105" t="str">
        <f>IF(OR(A105="",A105=9999),"",INDEX('Player Board'!$B$4:$B$163,MATCH(A105,'Player Board'!$H$4:$H$163,0)))</f>
        <v/>
      </c>
      <c r="C105" t="str">
        <f>IF(B105="","",INDEX('Player Board'!$C$4:$C$163,MATCH(B105,'Player Board'!$B$4:$B$163,0)))</f>
        <v/>
      </c>
      <c r="D105" t="str">
        <f>IF(B105="","",INDEX('Player Board'!$D$4:$D$163,MATCH(B105,'Player Board'!$B$4:$B$163,0)))</f>
        <v/>
      </c>
      <c r="E105" t="str">
        <f>IF(B105="","",INDEX('Player Board'!$H$4:$H$163,MATCH(B105,'Player Board'!$B$4:$B$163,0)))</f>
        <v/>
      </c>
      <c r="F105" t="str">
        <f>IF(B105="","",INDEX('Player Board'!$F$4:$F$163,MATCH(B105,'Player Board'!$B$4:$B$163,0)))</f>
        <v/>
      </c>
      <c r="G105" t="str">
        <f>IF(B105="","",INDEX('Player Board'!$P$4:$P$163,MATCH(B105,'Player Board'!$B$4:$B$163,0)))</f>
        <v/>
      </c>
      <c r="H105" t="str">
        <f>IF(B105="","",INDEX('Player Board'!$M$4:$M$163,MATCH(B105,'Player Board'!$B$4:$B$163,0)))</f>
        <v/>
      </c>
      <c r="I105" t="str">
        <f>IF(B105="","",INDEX('Player Board'!$G$4:$G$163,MATCH(B105,'Player Board'!$B$4:$B$163,0)))</f>
        <v/>
      </c>
      <c r="J105" s="1" t="str">
        <f>IF(B105="","",INDEX('Player Board'!$N$4:$N$163,MATCH(B105,'Player Board'!$B$4:$B$163,0)))</f>
        <v/>
      </c>
      <c r="K105" t="str">
        <f>IF(B105="","",IFERROR(INDEX('Player Board'!$Q$4:$Q$163,MATCH(B105,'Player Board'!$B$4:$B$163,0)),""))</f>
        <v/>
      </c>
      <c r="L105" t="str">
        <f t="shared" si="3"/>
        <v/>
      </c>
    </row>
    <row r="106" spans="1:12">
      <c r="A106">
        <f>IFERROR(SMALL('Player Board'!$O$4:$O$163,102),"")</f>
        <v>9999</v>
      </c>
      <c r="B106" t="str">
        <f>IF(OR(A106="",A106=9999),"",INDEX('Player Board'!$B$4:$B$163,MATCH(A106,'Player Board'!$H$4:$H$163,0)))</f>
        <v/>
      </c>
      <c r="C106" t="str">
        <f>IF(B106="","",INDEX('Player Board'!$C$4:$C$163,MATCH(B106,'Player Board'!$B$4:$B$163,0)))</f>
        <v/>
      </c>
      <c r="D106" t="str">
        <f>IF(B106="","",INDEX('Player Board'!$D$4:$D$163,MATCH(B106,'Player Board'!$B$4:$B$163,0)))</f>
        <v/>
      </c>
      <c r="E106" t="str">
        <f>IF(B106="","",INDEX('Player Board'!$H$4:$H$163,MATCH(B106,'Player Board'!$B$4:$B$163,0)))</f>
        <v/>
      </c>
      <c r="F106" t="str">
        <f>IF(B106="","",INDEX('Player Board'!$F$4:$F$163,MATCH(B106,'Player Board'!$B$4:$B$163,0)))</f>
        <v/>
      </c>
      <c r="G106" t="str">
        <f>IF(B106="","",INDEX('Player Board'!$P$4:$P$163,MATCH(B106,'Player Board'!$B$4:$B$163,0)))</f>
        <v/>
      </c>
      <c r="H106" t="str">
        <f>IF(B106="","",INDEX('Player Board'!$M$4:$M$163,MATCH(B106,'Player Board'!$B$4:$B$163,0)))</f>
        <v/>
      </c>
      <c r="I106" t="str">
        <f>IF(B106="","",INDEX('Player Board'!$G$4:$G$163,MATCH(B106,'Player Board'!$B$4:$B$163,0)))</f>
        <v/>
      </c>
      <c r="J106" s="1" t="str">
        <f>IF(B106="","",INDEX('Player Board'!$N$4:$N$163,MATCH(B106,'Player Board'!$B$4:$B$163,0)))</f>
        <v/>
      </c>
      <c r="K106" t="str">
        <f>IF(B106="","",IFERROR(INDEX('Player Board'!$Q$4:$Q$163,MATCH(B106,'Player Board'!$B$4:$B$163,0)),""))</f>
        <v/>
      </c>
      <c r="L106" t="str">
        <f t="shared" si="3"/>
        <v/>
      </c>
    </row>
    <row r="107" spans="1:12">
      <c r="A107">
        <f>IFERROR(SMALL('Player Board'!$O$4:$O$163,103),"")</f>
        <v>9999</v>
      </c>
      <c r="B107" t="str">
        <f>IF(OR(A107="",A107=9999),"",INDEX('Player Board'!$B$4:$B$163,MATCH(A107,'Player Board'!$H$4:$H$163,0)))</f>
        <v/>
      </c>
      <c r="C107" t="str">
        <f>IF(B107="","",INDEX('Player Board'!$C$4:$C$163,MATCH(B107,'Player Board'!$B$4:$B$163,0)))</f>
        <v/>
      </c>
      <c r="D107" t="str">
        <f>IF(B107="","",INDEX('Player Board'!$D$4:$D$163,MATCH(B107,'Player Board'!$B$4:$B$163,0)))</f>
        <v/>
      </c>
      <c r="E107" t="str">
        <f>IF(B107="","",INDEX('Player Board'!$H$4:$H$163,MATCH(B107,'Player Board'!$B$4:$B$163,0)))</f>
        <v/>
      </c>
      <c r="F107" t="str">
        <f>IF(B107="","",INDEX('Player Board'!$F$4:$F$163,MATCH(B107,'Player Board'!$B$4:$B$163,0)))</f>
        <v/>
      </c>
      <c r="G107" t="str">
        <f>IF(B107="","",INDEX('Player Board'!$P$4:$P$163,MATCH(B107,'Player Board'!$B$4:$B$163,0)))</f>
        <v/>
      </c>
      <c r="H107" t="str">
        <f>IF(B107="","",INDEX('Player Board'!$M$4:$M$163,MATCH(B107,'Player Board'!$B$4:$B$163,0)))</f>
        <v/>
      </c>
      <c r="I107" t="str">
        <f>IF(B107="","",INDEX('Player Board'!$G$4:$G$163,MATCH(B107,'Player Board'!$B$4:$B$163,0)))</f>
        <v/>
      </c>
      <c r="J107" s="1" t="str">
        <f>IF(B107="","",INDEX('Player Board'!$N$4:$N$163,MATCH(B107,'Player Board'!$B$4:$B$163,0)))</f>
        <v/>
      </c>
      <c r="K107" t="str">
        <f>IF(B107="","",IFERROR(INDEX('Player Board'!$Q$4:$Q$163,MATCH(B107,'Player Board'!$B$4:$B$163,0)),""))</f>
        <v/>
      </c>
      <c r="L107" t="str">
        <f t="shared" si="3"/>
        <v/>
      </c>
    </row>
    <row r="108" spans="1:12">
      <c r="A108">
        <f>IFERROR(SMALL('Player Board'!$O$4:$O$163,104),"")</f>
        <v>9999</v>
      </c>
      <c r="B108" t="str">
        <f>IF(OR(A108="",A108=9999),"",INDEX('Player Board'!$B$4:$B$163,MATCH(A108,'Player Board'!$H$4:$H$163,0)))</f>
        <v/>
      </c>
      <c r="C108" t="str">
        <f>IF(B108="","",INDEX('Player Board'!$C$4:$C$163,MATCH(B108,'Player Board'!$B$4:$B$163,0)))</f>
        <v/>
      </c>
      <c r="D108" t="str">
        <f>IF(B108="","",INDEX('Player Board'!$D$4:$D$163,MATCH(B108,'Player Board'!$B$4:$B$163,0)))</f>
        <v/>
      </c>
      <c r="E108" t="str">
        <f>IF(B108="","",INDEX('Player Board'!$H$4:$H$163,MATCH(B108,'Player Board'!$B$4:$B$163,0)))</f>
        <v/>
      </c>
      <c r="F108" t="str">
        <f>IF(B108="","",INDEX('Player Board'!$F$4:$F$163,MATCH(B108,'Player Board'!$B$4:$B$163,0)))</f>
        <v/>
      </c>
      <c r="G108" t="str">
        <f>IF(B108="","",INDEX('Player Board'!$P$4:$P$163,MATCH(B108,'Player Board'!$B$4:$B$163,0)))</f>
        <v/>
      </c>
      <c r="H108" t="str">
        <f>IF(B108="","",INDEX('Player Board'!$M$4:$M$163,MATCH(B108,'Player Board'!$B$4:$B$163,0)))</f>
        <v/>
      </c>
      <c r="I108" t="str">
        <f>IF(B108="","",INDEX('Player Board'!$G$4:$G$163,MATCH(B108,'Player Board'!$B$4:$B$163,0)))</f>
        <v/>
      </c>
      <c r="J108" s="1" t="str">
        <f>IF(B108="","",INDEX('Player Board'!$N$4:$N$163,MATCH(B108,'Player Board'!$B$4:$B$163,0)))</f>
        <v/>
      </c>
      <c r="K108" t="str">
        <f>IF(B108="","",IFERROR(INDEX('Player Board'!$Q$4:$Q$163,MATCH(B108,'Player Board'!$B$4:$B$163,0)),""))</f>
        <v/>
      </c>
      <c r="L108" t="str">
        <f t="shared" si="3"/>
        <v/>
      </c>
    </row>
    <row r="109" spans="1:12">
      <c r="A109">
        <f>IFERROR(SMALL('Player Board'!$O$4:$O$163,105),"")</f>
        <v>9999</v>
      </c>
      <c r="B109" t="str">
        <f>IF(OR(A109="",A109=9999),"",INDEX('Player Board'!$B$4:$B$163,MATCH(A109,'Player Board'!$H$4:$H$163,0)))</f>
        <v/>
      </c>
      <c r="C109" t="str">
        <f>IF(B109="","",INDEX('Player Board'!$C$4:$C$163,MATCH(B109,'Player Board'!$B$4:$B$163,0)))</f>
        <v/>
      </c>
      <c r="D109" t="str">
        <f>IF(B109="","",INDEX('Player Board'!$D$4:$D$163,MATCH(B109,'Player Board'!$B$4:$B$163,0)))</f>
        <v/>
      </c>
      <c r="E109" t="str">
        <f>IF(B109="","",INDEX('Player Board'!$H$4:$H$163,MATCH(B109,'Player Board'!$B$4:$B$163,0)))</f>
        <v/>
      </c>
      <c r="F109" t="str">
        <f>IF(B109="","",INDEX('Player Board'!$F$4:$F$163,MATCH(B109,'Player Board'!$B$4:$B$163,0)))</f>
        <v/>
      </c>
      <c r="G109" t="str">
        <f>IF(B109="","",INDEX('Player Board'!$P$4:$P$163,MATCH(B109,'Player Board'!$B$4:$B$163,0)))</f>
        <v/>
      </c>
      <c r="H109" t="str">
        <f>IF(B109="","",INDEX('Player Board'!$M$4:$M$163,MATCH(B109,'Player Board'!$B$4:$B$163,0)))</f>
        <v/>
      </c>
      <c r="I109" t="str">
        <f>IF(B109="","",INDEX('Player Board'!$G$4:$G$163,MATCH(B109,'Player Board'!$B$4:$B$163,0)))</f>
        <v/>
      </c>
      <c r="J109" s="1" t="str">
        <f>IF(B109="","",INDEX('Player Board'!$N$4:$N$163,MATCH(B109,'Player Board'!$B$4:$B$163,0)))</f>
        <v/>
      </c>
      <c r="K109" t="str">
        <f>IF(B109="","",IFERROR(INDEX('Player Board'!$Q$4:$Q$163,MATCH(B109,'Player Board'!$B$4:$B$163,0)),""))</f>
        <v/>
      </c>
      <c r="L109" t="str">
        <f t="shared" si="3"/>
        <v/>
      </c>
    </row>
    <row r="110" spans="1:12">
      <c r="A110">
        <f>IFERROR(SMALL('Player Board'!$O$4:$O$163,106),"")</f>
        <v>9999</v>
      </c>
      <c r="B110" t="str">
        <f>IF(OR(A110="",A110=9999),"",INDEX('Player Board'!$B$4:$B$163,MATCH(A110,'Player Board'!$H$4:$H$163,0)))</f>
        <v/>
      </c>
      <c r="C110" t="str">
        <f>IF(B110="","",INDEX('Player Board'!$C$4:$C$163,MATCH(B110,'Player Board'!$B$4:$B$163,0)))</f>
        <v/>
      </c>
      <c r="D110" t="str">
        <f>IF(B110="","",INDEX('Player Board'!$D$4:$D$163,MATCH(B110,'Player Board'!$B$4:$B$163,0)))</f>
        <v/>
      </c>
      <c r="E110" t="str">
        <f>IF(B110="","",INDEX('Player Board'!$H$4:$H$163,MATCH(B110,'Player Board'!$B$4:$B$163,0)))</f>
        <v/>
      </c>
      <c r="F110" t="str">
        <f>IF(B110="","",INDEX('Player Board'!$F$4:$F$163,MATCH(B110,'Player Board'!$B$4:$B$163,0)))</f>
        <v/>
      </c>
      <c r="G110" t="str">
        <f>IF(B110="","",INDEX('Player Board'!$P$4:$P$163,MATCH(B110,'Player Board'!$B$4:$B$163,0)))</f>
        <v/>
      </c>
      <c r="H110" t="str">
        <f>IF(B110="","",INDEX('Player Board'!$M$4:$M$163,MATCH(B110,'Player Board'!$B$4:$B$163,0)))</f>
        <v/>
      </c>
      <c r="I110" t="str">
        <f>IF(B110="","",INDEX('Player Board'!$G$4:$G$163,MATCH(B110,'Player Board'!$B$4:$B$163,0)))</f>
        <v/>
      </c>
      <c r="J110" s="1" t="str">
        <f>IF(B110="","",INDEX('Player Board'!$N$4:$N$163,MATCH(B110,'Player Board'!$B$4:$B$163,0)))</f>
        <v/>
      </c>
      <c r="K110" t="str">
        <f>IF(B110="","",IFERROR(INDEX('Player Board'!$Q$4:$Q$163,MATCH(B110,'Player Board'!$B$4:$B$163,0)),""))</f>
        <v/>
      </c>
      <c r="L110" t="str">
        <f t="shared" si="3"/>
        <v/>
      </c>
    </row>
    <row r="111" spans="1:12">
      <c r="A111">
        <f>IFERROR(SMALL('Player Board'!$O$4:$O$163,107),"")</f>
        <v>9999</v>
      </c>
      <c r="B111" t="str">
        <f>IF(OR(A111="",A111=9999),"",INDEX('Player Board'!$B$4:$B$163,MATCH(A111,'Player Board'!$H$4:$H$163,0)))</f>
        <v/>
      </c>
      <c r="C111" t="str">
        <f>IF(B111="","",INDEX('Player Board'!$C$4:$C$163,MATCH(B111,'Player Board'!$B$4:$B$163,0)))</f>
        <v/>
      </c>
      <c r="D111" t="str">
        <f>IF(B111="","",INDEX('Player Board'!$D$4:$D$163,MATCH(B111,'Player Board'!$B$4:$B$163,0)))</f>
        <v/>
      </c>
      <c r="E111" t="str">
        <f>IF(B111="","",INDEX('Player Board'!$H$4:$H$163,MATCH(B111,'Player Board'!$B$4:$B$163,0)))</f>
        <v/>
      </c>
      <c r="F111" t="str">
        <f>IF(B111="","",INDEX('Player Board'!$F$4:$F$163,MATCH(B111,'Player Board'!$B$4:$B$163,0)))</f>
        <v/>
      </c>
      <c r="G111" t="str">
        <f>IF(B111="","",INDEX('Player Board'!$P$4:$P$163,MATCH(B111,'Player Board'!$B$4:$B$163,0)))</f>
        <v/>
      </c>
      <c r="H111" t="str">
        <f>IF(B111="","",INDEX('Player Board'!$M$4:$M$163,MATCH(B111,'Player Board'!$B$4:$B$163,0)))</f>
        <v/>
      </c>
      <c r="I111" t="str">
        <f>IF(B111="","",INDEX('Player Board'!$G$4:$G$163,MATCH(B111,'Player Board'!$B$4:$B$163,0)))</f>
        <v/>
      </c>
      <c r="J111" s="1" t="str">
        <f>IF(B111="","",INDEX('Player Board'!$N$4:$N$163,MATCH(B111,'Player Board'!$B$4:$B$163,0)))</f>
        <v/>
      </c>
      <c r="K111" t="str">
        <f>IF(B111="","",IFERROR(INDEX('Player Board'!$Q$4:$Q$163,MATCH(B111,'Player Board'!$B$4:$B$163,0)),""))</f>
        <v/>
      </c>
      <c r="L111" t="str">
        <f t="shared" si="3"/>
        <v/>
      </c>
    </row>
    <row r="112" spans="1:12">
      <c r="A112">
        <f>IFERROR(SMALL('Player Board'!$O$4:$O$163,108),"")</f>
        <v>9999</v>
      </c>
      <c r="B112" t="str">
        <f>IF(OR(A112="",A112=9999),"",INDEX('Player Board'!$B$4:$B$163,MATCH(A112,'Player Board'!$H$4:$H$163,0)))</f>
        <v/>
      </c>
      <c r="C112" t="str">
        <f>IF(B112="","",INDEX('Player Board'!$C$4:$C$163,MATCH(B112,'Player Board'!$B$4:$B$163,0)))</f>
        <v/>
      </c>
      <c r="D112" t="str">
        <f>IF(B112="","",INDEX('Player Board'!$D$4:$D$163,MATCH(B112,'Player Board'!$B$4:$B$163,0)))</f>
        <v/>
      </c>
      <c r="E112" t="str">
        <f>IF(B112="","",INDEX('Player Board'!$H$4:$H$163,MATCH(B112,'Player Board'!$B$4:$B$163,0)))</f>
        <v/>
      </c>
      <c r="F112" t="str">
        <f>IF(B112="","",INDEX('Player Board'!$F$4:$F$163,MATCH(B112,'Player Board'!$B$4:$B$163,0)))</f>
        <v/>
      </c>
      <c r="G112" t="str">
        <f>IF(B112="","",INDEX('Player Board'!$P$4:$P$163,MATCH(B112,'Player Board'!$B$4:$B$163,0)))</f>
        <v/>
      </c>
      <c r="H112" t="str">
        <f>IF(B112="","",INDEX('Player Board'!$M$4:$M$163,MATCH(B112,'Player Board'!$B$4:$B$163,0)))</f>
        <v/>
      </c>
      <c r="I112" t="str">
        <f>IF(B112="","",INDEX('Player Board'!$G$4:$G$163,MATCH(B112,'Player Board'!$B$4:$B$163,0)))</f>
        <v/>
      </c>
      <c r="J112" s="1" t="str">
        <f>IF(B112="","",INDEX('Player Board'!$N$4:$N$163,MATCH(B112,'Player Board'!$B$4:$B$163,0)))</f>
        <v/>
      </c>
      <c r="K112" t="str">
        <f>IF(B112="","",IFERROR(INDEX('Player Board'!$Q$4:$Q$163,MATCH(B112,'Player Board'!$B$4:$B$163,0)),""))</f>
        <v/>
      </c>
      <c r="L112" t="str">
        <f t="shared" si="3"/>
        <v/>
      </c>
    </row>
    <row r="113" spans="1:12">
      <c r="A113">
        <f>IFERROR(SMALL('Player Board'!$O$4:$O$163,109),"")</f>
        <v>9999</v>
      </c>
      <c r="B113" t="str">
        <f>IF(OR(A113="",A113=9999),"",INDEX('Player Board'!$B$4:$B$163,MATCH(A113,'Player Board'!$H$4:$H$163,0)))</f>
        <v/>
      </c>
      <c r="C113" t="str">
        <f>IF(B113="","",INDEX('Player Board'!$C$4:$C$163,MATCH(B113,'Player Board'!$B$4:$B$163,0)))</f>
        <v/>
      </c>
      <c r="D113" t="str">
        <f>IF(B113="","",INDEX('Player Board'!$D$4:$D$163,MATCH(B113,'Player Board'!$B$4:$B$163,0)))</f>
        <v/>
      </c>
      <c r="E113" t="str">
        <f>IF(B113="","",INDEX('Player Board'!$H$4:$H$163,MATCH(B113,'Player Board'!$B$4:$B$163,0)))</f>
        <v/>
      </c>
      <c r="F113" t="str">
        <f>IF(B113="","",INDEX('Player Board'!$F$4:$F$163,MATCH(B113,'Player Board'!$B$4:$B$163,0)))</f>
        <v/>
      </c>
      <c r="G113" t="str">
        <f>IF(B113="","",INDEX('Player Board'!$P$4:$P$163,MATCH(B113,'Player Board'!$B$4:$B$163,0)))</f>
        <v/>
      </c>
      <c r="H113" t="str">
        <f>IF(B113="","",INDEX('Player Board'!$M$4:$M$163,MATCH(B113,'Player Board'!$B$4:$B$163,0)))</f>
        <v/>
      </c>
      <c r="I113" t="str">
        <f>IF(B113="","",INDEX('Player Board'!$G$4:$G$163,MATCH(B113,'Player Board'!$B$4:$B$163,0)))</f>
        <v/>
      </c>
      <c r="J113" s="1" t="str">
        <f>IF(B113="","",INDEX('Player Board'!$N$4:$N$163,MATCH(B113,'Player Board'!$B$4:$B$163,0)))</f>
        <v/>
      </c>
      <c r="K113" t="str">
        <f>IF(B113="","",IFERROR(INDEX('Player Board'!$Q$4:$Q$163,MATCH(B113,'Player Board'!$B$4:$B$163,0)),""))</f>
        <v/>
      </c>
      <c r="L113" t="str">
        <f t="shared" si="3"/>
        <v/>
      </c>
    </row>
    <row r="114" spans="1:12">
      <c r="A114">
        <f>IFERROR(SMALL('Player Board'!$O$4:$O$163,110),"")</f>
        <v>9999</v>
      </c>
      <c r="B114" t="str">
        <f>IF(OR(A114="",A114=9999),"",INDEX('Player Board'!$B$4:$B$163,MATCH(A114,'Player Board'!$H$4:$H$163,0)))</f>
        <v/>
      </c>
      <c r="C114" t="str">
        <f>IF(B114="","",INDEX('Player Board'!$C$4:$C$163,MATCH(B114,'Player Board'!$B$4:$B$163,0)))</f>
        <v/>
      </c>
      <c r="D114" t="str">
        <f>IF(B114="","",INDEX('Player Board'!$D$4:$D$163,MATCH(B114,'Player Board'!$B$4:$B$163,0)))</f>
        <v/>
      </c>
      <c r="E114" t="str">
        <f>IF(B114="","",INDEX('Player Board'!$H$4:$H$163,MATCH(B114,'Player Board'!$B$4:$B$163,0)))</f>
        <v/>
      </c>
      <c r="F114" t="str">
        <f>IF(B114="","",INDEX('Player Board'!$F$4:$F$163,MATCH(B114,'Player Board'!$B$4:$B$163,0)))</f>
        <v/>
      </c>
      <c r="G114" t="str">
        <f>IF(B114="","",INDEX('Player Board'!$P$4:$P$163,MATCH(B114,'Player Board'!$B$4:$B$163,0)))</f>
        <v/>
      </c>
      <c r="H114" t="str">
        <f>IF(B114="","",INDEX('Player Board'!$M$4:$M$163,MATCH(B114,'Player Board'!$B$4:$B$163,0)))</f>
        <v/>
      </c>
      <c r="I114" t="str">
        <f>IF(B114="","",INDEX('Player Board'!$G$4:$G$163,MATCH(B114,'Player Board'!$B$4:$B$163,0)))</f>
        <v/>
      </c>
      <c r="J114" s="1" t="str">
        <f>IF(B114="","",INDEX('Player Board'!$N$4:$N$163,MATCH(B114,'Player Board'!$B$4:$B$163,0)))</f>
        <v/>
      </c>
      <c r="K114" t="str">
        <f>IF(B114="","",IFERROR(INDEX('Player Board'!$Q$4:$Q$163,MATCH(B114,'Player Board'!$B$4:$B$163,0)),""))</f>
        <v/>
      </c>
      <c r="L114" t="str">
        <f t="shared" si="3"/>
        <v/>
      </c>
    </row>
    <row r="115" spans="1:12">
      <c r="A115">
        <f>IFERROR(SMALL('Player Board'!$O$4:$O$163,111),"")</f>
        <v>9999</v>
      </c>
      <c r="B115" t="str">
        <f>IF(OR(A115="",A115=9999),"",INDEX('Player Board'!$B$4:$B$163,MATCH(A115,'Player Board'!$H$4:$H$163,0)))</f>
        <v/>
      </c>
      <c r="C115" t="str">
        <f>IF(B115="","",INDEX('Player Board'!$C$4:$C$163,MATCH(B115,'Player Board'!$B$4:$B$163,0)))</f>
        <v/>
      </c>
      <c r="D115" t="str">
        <f>IF(B115="","",INDEX('Player Board'!$D$4:$D$163,MATCH(B115,'Player Board'!$B$4:$B$163,0)))</f>
        <v/>
      </c>
      <c r="E115" t="str">
        <f>IF(B115="","",INDEX('Player Board'!$H$4:$H$163,MATCH(B115,'Player Board'!$B$4:$B$163,0)))</f>
        <v/>
      </c>
      <c r="F115" t="str">
        <f>IF(B115="","",INDEX('Player Board'!$F$4:$F$163,MATCH(B115,'Player Board'!$B$4:$B$163,0)))</f>
        <v/>
      </c>
      <c r="G115" t="str">
        <f>IF(B115="","",INDEX('Player Board'!$P$4:$P$163,MATCH(B115,'Player Board'!$B$4:$B$163,0)))</f>
        <v/>
      </c>
      <c r="H115" t="str">
        <f>IF(B115="","",INDEX('Player Board'!$M$4:$M$163,MATCH(B115,'Player Board'!$B$4:$B$163,0)))</f>
        <v/>
      </c>
      <c r="I115" t="str">
        <f>IF(B115="","",INDEX('Player Board'!$G$4:$G$163,MATCH(B115,'Player Board'!$B$4:$B$163,0)))</f>
        <v/>
      </c>
      <c r="J115" s="1" t="str">
        <f>IF(B115="","",INDEX('Player Board'!$N$4:$N$163,MATCH(B115,'Player Board'!$B$4:$B$163,0)))</f>
        <v/>
      </c>
      <c r="K115" t="str">
        <f>IF(B115="","",IFERROR(INDEX('Player Board'!$Q$4:$Q$163,MATCH(B115,'Player Board'!$B$4:$B$163,0)),""))</f>
        <v/>
      </c>
      <c r="L115" t="str">
        <f t="shared" si="3"/>
        <v/>
      </c>
    </row>
    <row r="116" spans="1:12">
      <c r="A116">
        <f>IFERROR(SMALL('Player Board'!$O$4:$O$163,112),"")</f>
        <v>9999</v>
      </c>
      <c r="B116" t="str">
        <f>IF(OR(A116="",A116=9999),"",INDEX('Player Board'!$B$4:$B$163,MATCH(A116,'Player Board'!$H$4:$H$163,0)))</f>
        <v/>
      </c>
      <c r="C116" t="str">
        <f>IF(B116="","",INDEX('Player Board'!$C$4:$C$163,MATCH(B116,'Player Board'!$B$4:$B$163,0)))</f>
        <v/>
      </c>
      <c r="D116" t="str">
        <f>IF(B116="","",INDEX('Player Board'!$D$4:$D$163,MATCH(B116,'Player Board'!$B$4:$B$163,0)))</f>
        <v/>
      </c>
      <c r="E116" t="str">
        <f>IF(B116="","",INDEX('Player Board'!$H$4:$H$163,MATCH(B116,'Player Board'!$B$4:$B$163,0)))</f>
        <v/>
      </c>
      <c r="F116" t="str">
        <f>IF(B116="","",INDEX('Player Board'!$F$4:$F$163,MATCH(B116,'Player Board'!$B$4:$B$163,0)))</f>
        <v/>
      </c>
      <c r="G116" t="str">
        <f>IF(B116="","",INDEX('Player Board'!$P$4:$P$163,MATCH(B116,'Player Board'!$B$4:$B$163,0)))</f>
        <v/>
      </c>
      <c r="H116" t="str">
        <f>IF(B116="","",INDEX('Player Board'!$M$4:$M$163,MATCH(B116,'Player Board'!$B$4:$B$163,0)))</f>
        <v/>
      </c>
      <c r="I116" t="str">
        <f>IF(B116="","",INDEX('Player Board'!$G$4:$G$163,MATCH(B116,'Player Board'!$B$4:$B$163,0)))</f>
        <v/>
      </c>
      <c r="J116" s="1" t="str">
        <f>IF(B116="","",INDEX('Player Board'!$N$4:$N$163,MATCH(B116,'Player Board'!$B$4:$B$163,0)))</f>
        <v/>
      </c>
      <c r="K116" t="str">
        <f>IF(B116="","",IFERROR(INDEX('Player Board'!$Q$4:$Q$163,MATCH(B116,'Player Board'!$B$4:$B$163,0)),""))</f>
        <v/>
      </c>
      <c r="L116" t="str">
        <f t="shared" si="3"/>
        <v/>
      </c>
    </row>
    <row r="117" spans="1:12">
      <c r="A117">
        <f>IFERROR(SMALL('Player Board'!$O$4:$O$163,113),"")</f>
        <v>9999</v>
      </c>
      <c r="B117" t="str">
        <f>IF(OR(A117="",A117=9999),"",INDEX('Player Board'!$B$4:$B$163,MATCH(A117,'Player Board'!$H$4:$H$163,0)))</f>
        <v/>
      </c>
      <c r="C117" t="str">
        <f>IF(B117="","",INDEX('Player Board'!$C$4:$C$163,MATCH(B117,'Player Board'!$B$4:$B$163,0)))</f>
        <v/>
      </c>
      <c r="D117" t="str">
        <f>IF(B117="","",INDEX('Player Board'!$D$4:$D$163,MATCH(B117,'Player Board'!$B$4:$B$163,0)))</f>
        <v/>
      </c>
      <c r="E117" t="str">
        <f>IF(B117="","",INDEX('Player Board'!$H$4:$H$163,MATCH(B117,'Player Board'!$B$4:$B$163,0)))</f>
        <v/>
      </c>
      <c r="F117" t="str">
        <f>IF(B117="","",INDEX('Player Board'!$F$4:$F$163,MATCH(B117,'Player Board'!$B$4:$B$163,0)))</f>
        <v/>
      </c>
      <c r="G117" t="str">
        <f>IF(B117="","",INDEX('Player Board'!$P$4:$P$163,MATCH(B117,'Player Board'!$B$4:$B$163,0)))</f>
        <v/>
      </c>
      <c r="H117" t="str">
        <f>IF(B117="","",INDEX('Player Board'!$M$4:$M$163,MATCH(B117,'Player Board'!$B$4:$B$163,0)))</f>
        <v/>
      </c>
      <c r="I117" t="str">
        <f>IF(B117="","",INDEX('Player Board'!$G$4:$G$163,MATCH(B117,'Player Board'!$B$4:$B$163,0)))</f>
        <v/>
      </c>
      <c r="J117" s="1" t="str">
        <f>IF(B117="","",INDEX('Player Board'!$N$4:$N$163,MATCH(B117,'Player Board'!$B$4:$B$163,0)))</f>
        <v/>
      </c>
      <c r="K117" t="str">
        <f>IF(B117="","",IFERROR(INDEX('Player Board'!$Q$4:$Q$163,MATCH(B117,'Player Board'!$B$4:$B$163,0)),""))</f>
        <v/>
      </c>
      <c r="L117" t="str">
        <f t="shared" si="3"/>
        <v/>
      </c>
    </row>
    <row r="118" spans="1:12">
      <c r="A118">
        <f>IFERROR(SMALL('Player Board'!$O$4:$O$163,114),"")</f>
        <v>9999</v>
      </c>
      <c r="B118" t="str">
        <f>IF(OR(A118="",A118=9999),"",INDEX('Player Board'!$B$4:$B$163,MATCH(A118,'Player Board'!$H$4:$H$163,0)))</f>
        <v/>
      </c>
      <c r="C118" t="str">
        <f>IF(B118="","",INDEX('Player Board'!$C$4:$C$163,MATCH(B118,'Player Board'!$B$4:$B$163,0)))</f>
        <v/>
      </c>
      <c r="D118" t="str">
        <f>IF(B118="","",INDEX('Player Board'!$D$4:$D$163,MATCH(B118,'Player Board'!$B$4:$B$163,0)))</f>
        <v/>
      </c>
      <c r="E118" t="str">
        <f>IF(B118="","",INDEX('Player Board'!$H$4:$H$163,MATCH(B118,'Player Board'!$B$4:$B$163,0)))</f>
        <v/>
      </c>
      <c r="F118" t="str">
        <f>IF(B118="","",INDEX('Player Board'!$F$4:$F$163,MATCH(B118,'Player Board'!$B$4:$B$163,0)))</f>
        <v/>
      </c>
      <c r="G118" t="str">
        <f>IF(B118="","",INDEX('Player Board'!$P$4:$P$163,MATCH(B118,'Player Board'!$B$4:$B$163,0)))</f>
        <v/>
      </c>
      <c r="H118" t="str">
        <f>IF(B118="","",INDEX('Player Board'!$M$4:$M$163,MATCH(B118,'Player Board'!$B$4:$B$163,0)))</f>
        <v/>
      </c>
      <c r="I118" t="str">
        <f>IF(B118="","",INDEX('Player Board'!$G$4:$G$163,MATCH(B118,'Player Board'!$B$4:$B$163,0)))</f>
        <v/>
      </c>
      <c r="J118" s="1" t="str">
        <f>IF(B118="","",INDEX('Player Board'!$N$4:$N$163,MATCH(B118,'Player Board'!$B$4:$B$163,0)))</f>
        <v/>
      </c>
      <c r="K118" t="str">
        <f>IF(B118="","",IFERROR(INDEX('Player Board'!$Q$4:$Q$163,MATCH(B118,'Player Board'!$B$4:$B$163,0)),""))</f>
        <v/>
      </c>
      <c r="L118" t="str">
        <f t="shared" si="3"/>
        <v/>
      </c>
    </row>
    <row r="119" spans="1:12">
      <c r="A119">
        <f>IFERROR(SMALL('Player Board'!$O$4:$O$163,115),"")</f>
        <v>9999</v>
      </c>
      <c r="B119" t="str">
        <f>IF(OR(A119="",A119=9999),"",INDEX('Player Board'!$B$4:$B$163,MATCH(A119,'Player Board'!$H$4:$H$163,0)))</f>
        <v/>
      </c>
      <c r="C119" t="str">
        <f>IF(B119="","",INDEX('Player Board'!$C$4:$C$163,MATCH(B119,'Player Board'!$B$4:$B$163,0)))</f>
        <v/>
      </c>
      <c r="D119" t="str">
        <f>IF(B119="","",INDEX('Player Board'!$D$4:$D$163,MATCH(B119,'Player Board'!$B$4:$B$163,0)))</f>
        <v/>
      </c>
      <c r="E119" t="str">
        <f>IF(B119="","",INDEX('Player Board'!$H$4:$H$163,MATCH(B119,'Player Board'!$B$4:$B$163,0)))</f>
        <v/>
      </c>
      <c r="F119" t="str">
        <f>IF(B119="","",INDEX('Player Board'!$F$4:$F$163,MATCH(B119,'Player Board'!$B$4:$B$163,0)))</f>
        <v/>
      </c>
      <c r="G119" t="str">
        <f>IF(B119="","",INDEX('Player Board'!$P$4:$P$163,MATCH(B119,'Player Board'!$B$4:$B$163,0)))</f>
        <v/>
      </c>
      <c r="H119" t="str">
        <f>IF(B119="","",INDEX('Player Board'!$M$4:$M$163,MATCH(B119,'Player Board'!$B$4:$B$163,0)))</f>
        <v/>
      </c>
      <c r="I119" t="str">
        <f>IF(B119="","",INDEX('Player Board'!$G$4:$G$163,MATCH(B119,'Player Board'!$B$4:$B$163,0)))</f>
        <v/>
      </c>
      <c r="J119" s="1" t="str">
        <f>IF(B119="","",INDEX('Player Board'!$N$4:$N$163,MATCH(B119,'Player Board'!$B$4:$B$163,0)))</f>
        <v/>
      </c>
      <c r="K119" t="str">
        <f>IF(B119="","",IFERROR(INDEX('Player Board'!$Q$4:$Q$163,MATCH(B119,'Player Board'!$B$4:$B$163,0)),""))</f>
        <v/>
      </c>
      <c r="L119" t="str">
        <f t="shared" si="3"/>
        <v/>
      </c>
    </row>
    <row r="120" spans="1:12">
      <c r="A120">
        <f>IFERROR(SMALL('Player Board'!$O$4:$O$163,116),"")</f>
        <v>9999</v>
      </c>
      <c r="B120" t="str">
        <f>IF(OR(A120="",A120=9999),"",INDEX('Player Board'!$B$4:$B$163,MATCH(A120,'Player Board'!$H$4:$H$163,0)))</f>
        <v/>
      </c>
      <c r="C120" t="str">
        <f>IF(B120="","",INDEX('Player Board'!$C$4:$C$163,MATCH(B120,'Player Board'!$B$4:$B$163,0)))</f>
        <v/>
      </c>
      <c r="D120" t="str">
        <f>IF(B120="","",INDEX('Player Board'!$D$4:$D$163,MATCH(B120,'Player Board'!$B$4:$B$163,0)))</f>
        <v/>
      </c>
      <c r="E120" t="str">
        <f>IF(B120="","",INDEX('Player Board'!$H$4:$H$163,MATCH(B120,'Player Board'!$B$4:$B$163,0)))</f>
        <v/>
      </c>
      <c r="F120" t="str">
        <f>IF(B120="","",INDEX('Player Board'!$F$4:$F$163,MATCH(B120,'Player Board'!$B$4:$B$163,0)))</f>
        <v/>
      </c>
      <c r="G120" t="str">
        <f>IF(B120="","",INDEX('Player Board'!$P$4:$P$163,MATCH(B120,'Player Board'!$B$4:$B$163,0)))</f>
        <v/>
      </c>
      <c r="H120" t="str">
        <f>IF(B120="","",INDEX('Player Board'!$M$4:$M$163,MATCH(B120,'Player Board'!$B$4:$B$163,0)))</f>
        <v/>
      </c>
      <c r="I120" t="str">
        <f>IF(B120="","",INDEX('Player Board'!$G$4:$G$163,MATCH(B120,'Player Board'!$B$4:$B$163,0)))</f>
        <v/>
      </c>
      <c r="J120" s="1" t="str">
        <f>IF(B120="","",INDEX('Player Board'!$N$4:$N$163,MATCH(B120,'Player Board'!$B$4:$B$163,0)))</f>
        <v/>
      </c>
      <c r="K120" t="str">
        <f>IF(B120="","",IFERROR(INDEX('Player Board'!$Q$4:$Q$163,MATCH(B120,'Player Board'!$B$4:$B$163,0)),""))</f>
        <v/>
      </c>
      <c r="L120" t="str">
        <f t="shared" si="3"/>
        <v/>
      </c>
    </row>
    <row r="121" spans="1:12">
      <c r="A121">
        <f>IFERROR(SMALL('Player Board'!$O$4:$O$163,117),"")</f>
        <v>9999</v>
      </c>
      <c r="B121" t="str">
        <f>IF(OR(A121="",A121=9999),"",INDEX('Player Board'!$B$4:$B$163,MATCH(A121,'Player Board'!$H$4:$H$163,0)))</f>
        <v/>
      </c>
      <c r="C121" t="str">
        <f>IF(B121="","",INDEX('Player Board'!$C$4:$C$163,MATCH(B121,'Player Board'!$B$4:$B$163,0)))</f>
        <v/>
      </c>
      <c r="D121" t="str">
        <f>IF(B121="","",INDEX('Player Board'!$D$4:$D$163,MATCH(B121,'Player Board'!$B$4:$B$163,0)))</f>
        <v/>
      </c>
      <c r="E121" t="str">
        <f>IF(B121="","",INDEX('Player Board'!$H$4:$H$163,MATCH(B121,'Player Board'!$B$4:$B$163,0)))</f>
        <v/>
      </c>
      <c r="F121" t="str">
        <f>IF(B121="","",INDEX('Player Board'!$F$4:$F$163,MATCH(B121,'Player Board'!$B$4:$B$163,0)))</f>
        <v/>
      </c>
      <c r="G121" t="str">
        <f>IF(B121="","",INDEX('Player Board'!$P$4:$P$163,MATCH(B121,'Player Board'!$B$4:$B$163,0)))</f>
        <v/>
      </c>
      <c r="H121" t="str">
        <f>IF(B121="","",INDEX('Player Board'!$M$4:$M$163,MATCH(B121,'Player Board'!$B$4:$B$163,0)))</f>
        <v/>
      </c>
      <c r="I121" t="str">
        <f>IF(B121="","",INDEX('Player Board'!$G$4:$G$163,MATCH(B121,'Player Board'!$B$4:$B$163,0)))</f>
        <v/>
      </c>
      <c r="J121" s="1" t="str">
        <f>IF(B121="","",INDEX('Player Board'!$N$4:$N$163,MATCH(B121,'Player Board'!$B$4:$B$163,0)))</f>
        <v/>
      </c>
      <c r="K121" t="str">
        <f>IF(B121="","",IFERROR(INDEX('Player Board'!$Q$4:$Q$163,MATCH(B121,'Player Board'!$B$4:$B$163,0)),""))</f>
        <v/>
      </c>
      <c r="L121" t="str">
        <f t="shared" si="3"/>
        <v/>
      </c>
    </row>
    <row r="122" spans="1:12">
      <c r="A122">
        <f>IFERROR(SMALL('Player Board'!$O$4:$O$163,118),"")</f>
        <v>9999</v>
      </c>
      <c r="B122" t="str">
        <f>IF(OR(A122="",A122=9999),"",INDEX('Player Board'!$B$4:$B$163,MATCH(A122,'Player Board'!$H$4:$H$163,0)))</f>
        <v/>
      </c>
      <c r="C122" t="str">
        <f>IF(B122="","",INDEX('Player Board'!$C$4:$C$163,MATCH(B122,'Player Board'!$B$4:$B$163,0)))</f>
        <v/>
      </c>
      <c r="D122" t="str">
        <f>IF(B122="","",INDEX('Player Board'!$D$4:$D$163,MATCH(B122,'Player Board'!$B$4:$B$163,0)))</f>
        <v/>
      </c>
      <c r="E122" t="str">
        <f>IF(B122="","",INDEX('Player Board'!$H$4:$H$163,MATCH(B122,'Player Board'!$B$4:$B$163,0)))</f>
        <v/>
      </c>
      <c r="F122" t="str">
        <f>IF(B122="","",INDEX('Player Board'!$F$4:$F$163,MATCH(B122,'Player Board'!$B$4:$B$163,0)))</f>
        <v/>
      </c>
      <c r="G122" t="str">
        <f>IF(B122="","",INDEX('Player Board'!$P$4:$P$163,MATCH(B122,'Player Board'!$B$4:$B$163,0)))</f>
        <v/>
      </c>
      <c r="H122" t="str">
        <f>IF(B122="","",INDEX('Player Board'!$M$4:$M$163,MATCH(B122,'Player Board'!$B$4:$B$163,0)))</f>
        <v/>
      </c>
      <c r="I122" t="str">
        <f>IF(B122="","",INDEX('Player Board'!$G$4:$G$163,MATCH(B122,'Player Board'!$B$4:$B$163,0)))</f>
        <v/>
      </c>
      <c r="J122" s="1" t="str">
        <f>IF(B122="","",INDEX('Player Board'!$N$4:$N$163,MATCH(B122,'Player Board'!$B$4:$B$163,0)))</f>
        <v/>
      </c>
      <c r="K122" t="str">
        <f>IF(B122="","",IFERROR(INDEX('Player Board'!$Q$4:$Q$163,MATCH(B122,'Player Board'!$B$4:$B$163,0)),""))</f>
        <v/>
      </c>
      <c r="L122" t="str">
        <f t="shared" si="3"/>
        <v/>
      </c>
    </row>
    <row r="123" spans="1:12">
      <c r="A123">
        <f>IFERROR(SMALL('Player Board'!$O$4:$O$163,119),"")</f>
        <v>9999</v>
      </c>
      <c r="B123" t="str">
        <f>IF(OR(A123="",A123=9999),"",INDEX('Player Board'!$B$4:$B$163,MATCH(A123,'Player Board'!$H$4:$H$163,0)))</f>
        <v/>
      </c>
      <c r="C123" t="str">
        <f>IF(B123="","",INDEX('Player Board'!$C$4:$C$163,MATCH(B123,'Player Board'!$B$4:$B$163,0)))</f>
        <v/>
      </c>
      <c r="D123" t="str">
        <f>IF(B123="","",INDEX('Player Board'!$D$4:$D$163,MATCH(B123,'Player Board'!$B$4:$B$163,0)))</f>
        <v/>
      </c>
      <c r="E123" t="str">
        <f>IF(B123="","",INDEX('Player Board'!$H$4:$H$163,MATCH(B123,'Player Board'!$B$4:$B$163,0)))</f>
        <v/>
      </c>
      <c r="F123" t="str">
        <f>IF(B123="","",INDEX('Player Board'!$F$4:$F$163,MATCH(B123,'Player Board'!$B$4:$B$163,0)))</f>
        <v/>
      </c>
      <c r="G123" t="str">
        <f>IF(B123="","",INDEX('Player Board'!$P$4:$P$163,MATCH(B123,'Player Board'!$B$4:$B$163,0)))</f>
        <v/>
      </c>
      <c r="H123" t="str">
        <f>IF(B123="","",INDEX('Player Board'!$M$4:$M$163,MATCH(B123,'Player Board'!$B$4:$B$163,0)))</f>
        <v/>
      </c>
      <c r="I123" t="str">
        <f>IF(B123="","",INDEX('Player Board'!$G$4:$G$163,MATCH(B123,'Player Board'!$B$4:$B$163,0)))</f>
        <v/>
      </c>
      <c r="J123" s="1" t="str">
        <f>IF(B123="","",INDEX('Player Board'!$N$4:$N$163,MATCH(B123,'Player Board'!$B$4:$B$163,0)))</f>
        <v/>
      </c>
      <c r="K123" t="str">
        <f>IF(B123="","",IFERROR(INDEX('Player Board'!$Q$4:$Q$163,MATCH(B123,'Player Board'!$B$4:$B$163,0)),""))</f>
        <v/>
      </c>
      <c r="L123" t="str">
        <f t="shared" si="3"/>
        <v/>
      </c>
    </row>
    <row r="124" spans="1:12">
      <c r="A124">
        <f>IFERROR(SMALL('Player Board'!$O$4:$O$163,120),"")</f>
        <v>9999</v>
      </c>
      <c r="B124" t="str">
        <f>IF(OR(A124="",A124=9999),"",INDEX('Player Board'!$B$4:$B$163,MATCH(A124,'Player Board'!$H$4:$H$163,0)))</f>
        <v/>
      </c>
      <c r="C124" t="str">
        <f>IF(B124="","",INDEX('Player Board'!$C$4:$C$163,MATCH(B124,'Player Board'!$B$4:$B$163,0)))</f>
        <v/>
      </c>
      <c r="D124" t="str">
        <f>IF(B124="","",INDEX('Player Board'!$D$4:$D$163,MATCH(B124,'Player Board'!$B$4:$B$163,0)))</f>
        <v/>
      </c>
      <c r="E124" t="str">
        <f>IF(B124="","",INDEX('Player Board'!$H$4:$H$163,MATCH(B124,'Player Board'!$B$4:$B$163,0)))</f>
        <v/>
      </c>
      <c r="F124" t="str">
        <f>IF(B124="","",INDEX('Player Board'!$F$4:$F$163,MATCH(B124,'Player Board'!$B$4:$B$163,0)))</f>
        <v/>
      </c>
      <c r="G124" t="str">
        <f>IF(B124="","",INDEX('Player Board'!$P$4:$P$163,MATCH(B124,'Player Board'!$B$4:$B$163,0)))</f>
        <v/>
      </c>
      <c r="H124" t="str">
        <f>IF(B124="","",INDEX('Player Board'!$M$4:$M$163,MATCH(B124,'Player Board'!$B$4:$B$163,0)))</f>
        <v/>
      </c>
      <c r="I124" t="str">
        <f>IF(B124="","",INDEX('Player Board'!$G$4:$G$163,MATCH(B124,'Player Board'!$B$4:$B$163,0)))</f>
        <v/>
      </c>
      <c r="J124" s="1" t="str">
        <f>IF(B124="","",INDEX('Player Board'!$N$4:$N$163,MATCH(B124,'Player Board'!$B$4:$B$163,0)))</f>
        <v/>
      </c>
      <c r="K124" t="str">
        <f>IF(B124="","",IFERROR(INDEX('Player Board'!$Q$4:$Q$163,MATCH(B124,'Player Board'!$B$4:$B$163,0)),""))</f>
        <v/>
      </c>
      <c r="L124" t="str">
        <f t="shared" si="3"/>
        <v/>
      </c>
    </row>
    <row r="125" spans="1:12">
      <c r="A125">
        <f>IFERROR(SMALL('Player Board'!$O$4:$O$163,121),"")</f>
        <v>9999</v>
      </c>
      <c r="B125" t="str">
        <f>IF(OR(A125="",A125=9999),"",INDEX('Player Board'!$B$4:$B$163,MATCH(A125,'Player Board'!$H$4:$H$163,0)))</f>
        <v/>
      </c>
      <c r="C125" t="str">
        <f>IF(B125="","",INDEX('Player Board'!$C$4:$C$163,MATCH(B125,'Player Board'!$B$4:$B$163,0)))</f>
        <v/>
      </c>
      <c r="D125" t="str">
        <f>IF(B125="","",INDEX('Player Board'!$D$4:$D$163,MATCH(B125,'Player Board'!$B$4:$B$163,0)))</f>
        <v/>
      </c>
      <c r="E125" t="str">
        <f>IF(B125="","",INDEX('Player Board'!$H$4:$H$163,MATCH(B125,'Player Board'!$B$4:$B$163,0)))</f>
        <v/>
      </c>
      <c r="F125" t="str">
        <f>IF(B125="","",INDEX('Player Board'!$F$4:$F$163,MATCH(B125,'Player Board'!$B$4:$B$163,0)))</f>
        <v/>
      </c>
      <c r="G125" t="str">
        <f>IF(B125="","",INDEX('Player Board'!$P$4:$P$163,MATCH(B125,'Player Board'!$B$4:$B$163,0)))</f>
        <v/>
      </c>
      <c r="H125" t="str">
        <f>IF(B125="","",INDEX('Player Board'!$M$4:$M$163,MATCH(B125,'Player Board'!$B$4:$B$163,0)))</f>
        <v/>
      </c>
      <c r="I125" t="str">
        <f>IF(B125="","",INDEX('Player Board'!$G$4:$G$163,MATCH(B125,'Player Board'!$B$4:$B$163,0)))</f>
        <v/>
      </c>
      <c r="J125" s="1" t="str">
        <f>IF(B125="","",INDEX('Player Board'!$N$4:$N$163,MATCH(B125,'Player Board'!$B$4:$B$163,0)))</f>
        <v/>
      </c>
      <c r="K125" t="str">
        <f>IF(B125="","",IFERROR(INDEX('Player Board'!$Q$4:$Q$163,MATCH(B125,'Player Board'!$B$4:$B$163,0)),""))</f>
        <v/>
      </c>
      <c r="L125" t="str">
        <f t="shared" si="3"/>
        <v/>
      </c>
    </row>
    <row r="126" spans="1:12">
      <c r="A126">
        <f>IFERROR(SMALL('Player Board'!$O$4:$O$163,122),"")</f>
        <v>9999</v>
      </c>
      <c r="B126" t="str">
        <f>IF(OR(A126="",A126=9999),"",INDEX('Player Board'!$B$4:$B$163,MATCH(A126,'Player Board'!$H$4:$H$163,0)))</f>
        <v/>
      </c>
      <c r="C126" t="str">
        <f>IF(B126="","",INDEX('Player Board'!$C$4:$C$163,MATCH(B126,'Player Board'!$B$4:$B$163,0)))</f>
        <v/>
      </c>
      <c r="D126" t="str">
        <f>IF(B126="","",INDEX('Player Board'!$D$4:$D$163,MATCH(B126,'Player Board'!$B$4:$B$163,0)))</f>
        <v/>
      </c>
      <c r="E126" t="str">
        <f>IF(B126="","",INDEX('Player Board'!$H$4:$H$163,MATCH(B126,'Player Board'!$B$4:$B$163,0)))</f>
        <v/>
      </c>
      <c r="F126" t="str">
        <f>IF(B126="","",INDEX('Player Board'!$F$4:$F$163,MATCH(B126,'Player Board'!$B$4:$B$163,0)))</f>
        <v/>
      </c>
      <c r="G126" t="str">
        <f>IF(B126="","",INDEX('Player Board'!$P$4:$P$163,MATCH(B126,'Player Board'!$B$4:$B$163,0)))</f>
        <v/>
      </c>
      <c r="H126" t="str">
        <f>IF(B126="","",INDEX('Player Board'!$M$4:$M$163,MATCH(B126,'Player Board'!$B$4:$B$163,0)))</f>
        <v/>
      </c>
      <c r="I126" t="str">
        <f>IF(B126="","",INDEX('Player Board'!$G$4:$G$163,MATCH(B126,'Player Board'!$B$4:$B$163,0)))</f>
        <v/>
      </c>
      <c r="J126" s="1" t="str">
        <f>IF(B126="","",INDEX('Player Board'!$N$4:$N$163,MATCH(B126,'Player Board'!$B$4:$B$163,0)))</f>
        <v/>
      </c>
      <c r="K126" t="str">
        <f>IF(B126="","",IFERROR(INDEX('Player Board'!$Q$4:$Q$163,MATCH(B126,'Player Board'!$B$4:$B$163,0)),""))</f>
        <v/>
      </c>
      <c r="L126" t="str">
        <f t="shared" si="3"/>
        <v/>
      </c>
    </row>
    <row r="127" spans="1:12">
      <c r="A127">
        <f>IFERROR(SMALL('Player Board'!$O$4:$O$163,123),"")</f>
        <v>9999</v>
      </c>
      <c r="B127" t="str">
        <f>IF(OR(A127="",A127=9999),"",INDEX('Player Board'!$B$4:$B$163,MATCH(A127,'Player Board'!$H$4:$H$163,0)))</f>
        <v/>
      </c>
      <c r="C127" t="str">
        <f>IF(B127="","",INDEX('Player Board'!$C$4:$C$163,MATCH(B127,'Player Board'!$B$4:$B$163,0)))</f>
        <v/>
      </c>
      <c r="D127" t="str">
        <f>IF(B127="","",INDEX('Player Board'!$D$4:$D$163,MATCH(B127,'Player Board'!$B$4:$B$163,0)))</f>
        <v/>
      </c>
      <c r="E127" t="str">
        <f>IF(B127="","",INDEX('Player Board'!$H$4:$H$163,MATCH(B127,'Player Board'!$B$4:$B$163,0)))</f>
        <v/>
      </c>
      <c r="F127" t="str">
        <f>IF(B127="","",INDEX('Player Board'!$F$4:$F$163,MATCH(B127,'Player Board'!$B$4:$B$163,0)))</f>
        <v/>
      </c>
      <c r="G127" t="str">
        <f>IF(B127="","",INDEX('Player Board'!$P$4:$P$163,MATCH(B127,'Player Board'!$B$4:$B$163,0)))</f>
        <v/>
      </c>
      <c r="H127" t="str">
        <f>IF(B127="","",INDEX('Player Board'!$M$4:$M$163,MATCH(B127,'Player Board'!$B$4:$B$163,0)))</f>
        <v/>
      </c>
      <c r="I127" t="str">
        <f>IF(B127="","",INDEX('Player Board'!$G$4:$G$163,MATCH(B127,'Player Board'!$B$4:$B$163,0)))</f>
        <v/>
      </c>
      <c r="J127" s="1" t="str">
        <f>IF(B127="","",INDEX('Player Board'!$N$4:$N$163,MATCH(B127,'Player Board'!$B$4:$B$163,0)))</f>
        <v/>
      </c>
      <c r="K127" t="str">
        <f>IF(B127="","",IFERROR(INDEX('Player Board'!$Q$4:$Q$163,MATCH(B127,'Player Board'!$B$4:$B$163,0)),""))</f>
        <v/>
      </c>
      <c r="L127" t="str">
        <f t="shared" si="3"/>
        <v/>
      </c>
    </row>
    <row r="128" spans="1:12">
      <c r="A128">
        <f>IFERROR(SMALL('Player Board'!$O$4:$O$163,124),"")</f>
        <v>9999</v>
      </c>
      <c r="B128" t="str">
        <f>IF(OR(A128="",A128=9999),"",INDEX('Player Board'!$B$4:$B$163,MATCH(A128,'Player Board'!$H$4:$H$163,0)))</f>
        <v/>
      </c>
      <c r="C128" t="str">
        <f>IF(B128="","",INDEX('Player Board'!$C$4:$C$163,MATCH(B128,'Player Board'!$B$4:$B$163,0)))</f>
        <v/>
      </c>
      <c r="D128" t="str">
        <f>IF(B128="","",INDEX('Player Board'!$D$4:$D$163,MATCH(B128,'Player Board'!$B$4:$B$163,0)))</f>
        <v/>
      </c>
      <c r="E128" t="str">
        <f>IF(B128="","",INDEX('Player Board'!$H$4:$H$163,MATCH(B128,'Player Board'!$B$4:$B$163,0)))</f>
        <v/>
      </c>
      <c r="F128" t="str">
        <f>IF(B128="","",INDEX('Player Board'!$F$4:$F$163,MATCH(B128,'Player Board'!$B$4:$B$163,0)))</f>
        <v/>
      </c>
      <c r="G128" t="str">
        <f>IF(B128="","",INDEX('Player Board'!$P$4:$P$163,MATCH(B128,'Player Board'!$B$4:$B$163,0)))</f>
        <v/>
      </c>
      <c r="H128" t="str">
        <f>IF(B128="","",INDEX('Player Board'!$M$4:$M$163,MATCH(B128,'Player Board'!$B$4:$B$163,0)))</f>
        <v/>
      </c>
      <c r="I128" t="str">
        <f>IF(B128="","",INDEX('Player Board'!$G$4:$G$163,MATCH(B128,'Player Board'!$B$4:$B$163,0)))</f>
        <v/>
      </c>
      <c r="J128" s="1" t="str">
        <f>IF(B128="","",INDEX('Player Board'!$N$4:$N$163,MATCH(B128,'Player Board'!$B$4:$B$163,0)))</f>
        <v/>
      </c>
      <c r="K128" t="str">
        <f>IF(B128="","",IFERROR(INDEX('Player Board'!$Q$4:$Q$163,MATCH(B128,'Player Board'!$B$4:$B$163,0)),""))</f>
        <v/>
      </c>
      <c r="L128" t="str">
        <f t="shared" si="3"/>
        <v/>
      </c>
    </row>
    <row r="129" spans="1:12">
      <c r="A129">
        <f>IFERROR(SMALL('Player Board'!$O$4:$O$163,125),"")</f>
        <v>9999</v>
      </c>
      <c r="B129" t="str">
        <f>IF(OR(A129="",A129=9999),"",INDEX('Player Board'!$B$4:$B$163,MATCH(A129,'Player Board'!$H$4:$H$163,0)))</f>
        <v/>
      </c>
      <c r="C129" t="str">
        <f>IF(B129="","",INDEX('Player Board'!$C$4:$C$163,MATCH(B129,'Player Board'!$B$4:$B$163,0)))</f>
        <v/>
      </c>
      <c r="D129" t="str">
        <f>IF(B129="","",INDEX('Player Board'!$D$4:$D$163,MATCH(B129,'Player Board'!$B$4:$B$163,0)))</f>
        <v/>
      </c>
      <c r="E129" t="str">
        <f>IF(B129="","",INDEX('Player Board'!$H$4:$H$163,MATCH(B129,'Player Board'!$B$4:$B$163,0)))</f>
        <v/>
      </c>
      <c r="F129" t="str">
        <f>IF(B129="","",INDEX('Player Board'!$F$4:$F$163,MATCH(B129,'Player Board'!$B$4:$B$163,0)))</f>
        <v/>
      </c>
      <c r="G129" t="str">
        <f>IF(B129="","",INDEX('Player Board'!$P$4:$P$163,MATCH(B129,'Player Board'!$B$4:$B$163,0)))</f>
        <v/>
      </c>
      <c r="H129" t="str">
        <f>IF(B129="","",INDEX('Player Board'!$M$4:$M$163,MATCH(B129,'Player Board'!$B$4:$B$163,0)))</f>
        <v/>
      </c>
      <c r="I129" t="str">
        <f>IF(B129="","",INDEX('Player Board'!$G$4:$G$163,MATCH(B129,'Player Board'!$B$4:$B$163,0)))</f>
        <v/>
      </c>
      <c r="J129" s="1" t="str">
        <f>IF(B129="","",INDEX('Player Board'!$N$4:$N$163,MATCH(B129,'Player Board'!$B$4:$B$163,0)))</f>
        <v/>
      </c>
      <c r="K129" t="str">
        <f>IF(B129="","",IFERROR(INDEX('Player Board'!$Q$4:$Q$163,MATCH(B129,'Player Board'!$B$4:$B$163,0)),""))</f>
        <v/>
      </c>
      <c r="L129" t="str">
        <f t="shared" si="3"/>
        <v/>
      </c>
    </row>
    <row r="130" spans="1:12">
      <c r="A130">
        <f>IFERROR(SMALL('Player Board'!$O$4:$O$163,126),"")</f>
        <v>9999</v>
      </c>
      <c r="B130" t="str">
        <f>IF(OR(A130="",A130=9999),"",INDEX('Player Board'!$B$4:$B$163,MATCH(A130,'Player Board'!$H$4:$H$163,0)))</f>
        <v/>
      </c>
      <c r="C130" t="str">
        <f>IF(B130="","",INDEX('Player Board'!$C$4:$C$163,MATCH(B130,'Player Board'!$B$4:$B$163,0)))</f>
        <v/>
      </c>
      <c r="D130" t="str">
        <f>IF(B130="","",INDEX('Player Board'!$D$4:$D$163,MATCH(B130,'Player Board'!$B$4:$B$163,0)))</f>
        <v/>
      </c>
      <c r="E130" t="str">
        <f>IF(B130="","",INDEX('Player Board'!$H$4:$H$163,MATCH(B130,'Player Board'!$B$4:$B$163,0)))</f>
        <v/>
      </c>
      <c r="F130" t="str">
        <f>IF(B130="","",INDEX('Player Board'!$F$4:$F$163,MATCH(B130,'Player Board'!$B$4:$B$163,0)))</f>
        <v/>
      </c>
      <c r="G130" t="str">
        <f>IF(B130="","",INDEX('Player Board'!$P$4:$P$163,MATCH(B130,'Player Board'!$B$4:$B$163,0)))</f>
        <v/>
      </c>
      <c r="H130" t="str">
        <f>IF(B130="","",INDEX('Player Board'!$M$4:$M$163,MATCH(B130,'Player Board'!$B$4:$B$163,0)))</f>
        <v/>
      </c>
      <c r="I130" t="str">
        <f>IF(B130="","",INDEX('Player Board'!$G$4:$G$163,MATCH(B130,'Player Board'!$B$4:$B$163,0)))</f>
        <v/>
      </c>
      <c r="J130" s="1" t="str">
        <f>IF(B130="","",INDEX('Player Board'!$N$4:$N$163,MATCH(B130,'Player Board'!$B$4:$B$163,0)))</f>
        <v/>
      </c>
      <c r="K130" t="str">
        <f>IF(B130="","",IFERROR(INDEX('Player Board'!$Q$4:$Q$163,MATCH(B130,'Player Board'!$B$4:$B$163,0)),""))</f>
        <v/>
      </c>
      <c r="L130" t="str">
        <f t="shared" si="3"/>
        <v/>
      </c>
    </row>
    <row r="131" spans="1:12">
      <c r="A131">
        <f>IFERROR(SMALL('Player Board'!$O$4:$O$163,127),"")</f>
        <v>9999</v>
      </c>
      <c r="B131" t="str">
        <f>IF(OR(A131="",A131=9999),"",INDEX('Player Board'!$B$4:$B$163,MATCH(A131,'Player Board'!$H$4:$H$163,0)))</f>
        <v/>
      </c>
      <c r="C131" t="str">
        <f>IF(B131="","",INDEX('Player Board'!$C$4:$C$163,MATCH(B131,'Player Board'!$B$4:$B$163,0)))</f>
        <v/>
      </c>
      <c r="D131" t="str">
        <f>IF(B131="","",INDEX('Player Board'!$D$4:$D$163,MATCH(B131,'Player Board'!$B$4:$B$163,0)))</f>
        <v/>
      </c>
      <c r="E131" t="str">
        <f>IF(B131="","",INDEX('Player Board'!$H$4:$H$163,MATCH(B131,'Player Board'!$B$4:$B$163,0)))</f>
        <v/>
      </c>
      <c r="F131" t="str">
        <f>IF(B131="","",INDEX('Player Board'!$F$4:$F$163,MATCH(B131,'Player Board'!$B$4:$B$163,0)))</f>
        <v/>
      </c>
      <c r="G131" t="str">
        <f>IF(B131="","",INDEX('Player Board'!$P$4:$P$163,MATCH(B131,'Player Board'!$B$4:$B$163,0)))</f>
        <v/>
      </c>
      <c r="H131" t="str">
        <f>IF(B131="","",INDEX('Player Board'!$M$4:$M$163,MATCH(B131,'Player Board'!$B$4:$B$163,0)))</f>
        <v/>
      </c>
      <c r="I131" t="str">
        <f>IF(B131="","",INDEX('Player Board'!$G$4:$G$163,MATCH(B131,'Player Board'!$B$4:$B$163,0)))</f>
        <v/>
      </c>
      <c r="J131" s="1" t="str">
        <f>IF(B131="","",INDEX('Player Board'!$N$4:$N$163,MATCH(B131,'Player Board'!$B$4:$B$163,0)))</f>
        <v/>
      </c>
      <c r="K131" t="str">
        <f>IF(B131="","",IFERROR(INDEX('Player Board'!$Q$4:$Q$163,MATCH(B131,'Player Board'!$B$4:$B$163,0)),""))</f>
        <v/>
      </c>
      <c r="L131" t="str">
        <f t="shared" si="3"/>
        <v/>
      </c>
    </row>
    <row r="132" spans="1:12">
      <c r="A132">
        <f>IFERROR(SMALL('Player Board'!$O$4:$O$163,128),"")</f>
        <v>9999</v>
      </c>
      <c r="B132" t="str">
        <f>IF(OR(A132="",A132=9999),"",INDEX('Player Board'!$B$4:$B$163,MATCH(A132,'Player Board'!$H$4:$H$163,0)))</f>
        <v/>
      </c>
      <c r="C132" t="str">
        <f>IF(B132="","",INDEX('Player Board'!$C$4:$C$163,MATCH(B132,'Player Board'!$B$4:$B$163,0)))</f>
        <v/>
      </c>
      <c r="D132" t="str">
        <f>IF(B132="","",INDEX('Player Board'!$D$4:$D$163,MATCH(B132,'Player Board'!$B$4:$B$163,0)))</f>
        <v/>
      </c>
      <c r="E132" t="str">
        <f>IF(B132="","",INDEX('Player Board'!$H$4:$H$163,MATCH(B132,'Player Board'!$B$4:$B$163,0)))</f>
        <v/>
      </c>
      <c r="F132" t="str">
        <f>IF(B132="","",INDEX('Player Board'!$F$4:$F$163,MATCH(B132,'Player Board'!$B$4:$B$163,0)))</f>
        <v/>
      </c>
      <c r="G132" t="str">
        <f>IF(B132="","",INDEX('Player Board'!$P$4:$P$163,MATCH(B132,'Player Board'!$B$4:$B$163,0)))</f>
        <v/>
      </c>
      <c r="H132" t="str">
        <f>IF(B132="","",INDEX('Player Board'!$M$4:$M$163,MATCH(B132,'Player Board'!$B$4:$B$163,0)))</f>
        <v/>
      </c>
      <c r="I132" t="str">
        <f>IF(B132="","",INDEX('Player Board'!$G$4:$G$163,MATCH(B132,'Player Board'!$B$4:$B$163,0)))</f>
        <v/>
      </c>
      <c r="J132" s="1" t="str">
        <f>IF(B132="","",INDEX('Player Board'!$N$4:$N$163,MATCH(B132,'Player Board'!$B$4:$B$163,0)))</f>
        <v/>
      </c>
      <c r="K132" t="str">
        <f>IF(B132="","",IFERROR(INDEX('Player Board'!$Q$4:$Q$163,MATCH(B132,'Player Board'!$B$4:$B$163,0)),""))</f>
        <v/>
      </c>
      <c r="L132" t="str">
        <f t="shared" si="3"/>
        <v/>
      </c>
    </row>
    <row r="133" spans="1:12">
      <c r="A133">
        <f>IFERROR(SMALL('Player Board'!$O$4:$O$163,129),"")</f>
        <v>9999</v>
      </c>
      <c r="B133" t="str">
        <f>IF(OR(A133="",A133=9999),"",INDEX('Player Board'!$B$4:$B$163,MATCH(A133,'Player Board'!$H$4:$H$163,0)))</f>
        <v/>
      </c>
      <c r="C133" t="str">
        <f>IF(B133="","",INDEX('Player Board'!$C$4:$C$163,MATCH(B133,'Player Board'!$B$4:$B$163,0)))</f>
        <v/>
      </c>
      <c r="D133" t="str">
        <f>IF(B133="","",INDEX('Player Board'!$D$4:$D$163,MATCH(B133,'Player Board'!$B$4:$B$163,0)))</f>
        <v/>
      </c>
      <c r="E133" t="str">
        <f>IF(B133="","",INDEX('Player Board'!$H$4:$H$163,MATCH(B133,'Player Board'!$B$4:$B$163,0)))</f>
        <v/>
      </c>
      <c r="F133" t="str">
        <f>IF(B133="","",INDEX('Player Board'!$F$4:$F$163,MATCH(B133,'Player Board'!$B$4:$B$163,0)))</f>
        <v/>
      </c>
      <c r="G133" t="str">
        <f>IF(B133="","",INDEX('Player Board'!$P$4:$P$163,MATCH(B133,'Player Board'!$B$4:$B$163,0)))</f>
        <v/>
      </c>
      <c r="H133" t="str">
        <f>IF(B133="","",INDEX('Player Board'!$M$4:$M$163,MATCH(B133,'Player Board'!$B$4:$B$163,0)))</f>
        <v/>
      </c>
      <c r="I133" t="str">
        <f>IF(B133="","",INDEX('Player Board'!$G$4:$G$163,MATCH(B133,'Player Board'!$B$4:$B$163,0)))</f>
        <v/>
      </c>
      <c r="J133" s="1" t="str">
        <f>IF(B133="","",INDEX('Player Board'!$N$4:$N$163,MATCH(B133,'Player Board'!$B$4:$B$163,0)))</f>
        <v/>
      </c>
      <c r="K133" t="str">
        <f>IF(B133="","",IFERROR(INDEX('Player Board'!$Q$4:$Q$163,MATCH(B133,'Player Board'!$B$4:$B$163,0)),""))</f>
        <v/>
      </c>
      <c r="L133" t="str">
        <f t="shared" ref="L133:L164" si="4">IF(OR(E133="",K133=""),"",K133-E133)</f>
        <v/>
      </c>
    </row>
    <row r="134" spans="1:12">
      <c r="A134">
        <f>IFERROR(SMALL('Player Board'!$O$4:$O$163,130),"")</f>
        <v>9999</v>
      </c>
      <c r="B134" t="str">
        <f>IF(OR(A134="",A134=9999),"",INDEX('Player Board'!$B$4:$B$163,MATCH(A134,'Player Board'!$H$4:$H$163,0)))</f>
        <v/>
      </c>
      <c r="C134" t="str">
        <f>IF(B134="","",INDEX('Player Board'!$C$4:$C$163,MATCH(B134,'Player Board'!$B$4:$B$163,0)))</f>
        <v/>
      </c>
      <c r="D134" t="str">
        <f>IF(B134="","",INDEX('Player Board'!$D$4:$D$163,MATCH(B134,'Player Board'!$B$4:$B$163,0)))</f>
        <v/>
      </c>
      <c r="E134" t="str">
        <f>IF(B134="","",INDEX('Player Board'!$H$4:$H$163,MATCH(B134,'Player Board'!$B$4:$B$163,0)))</f>
        <v/>
      </c>
      <c r="F134" t="str">
        <f>IF(B134="","",INDEX('Player Board'!$F$4:$F$163,MATCH(B134,'Player Board'!$B$4:$B$163,0)))</f>
        <v/>
      </c>
      <c r="G134" t="str">
        <f>IF(B134="","",INDEX('Player Board'!$P$4:$P$163,MATCH(B134,'Player Board'!$B$4:$B$163,0)))</f>
        <v/>
      </c>
      <c r="H134" t="str">
        <f>IF(B134="","",INDEX('Player Board'!$M$4:$M$163,MATCH(B134,'Player Board'!$B$4:$B$163,0)))</f>
        <v/>
      </c>
      <c r="I134" t="str">
        <f>IF(B134="","",INDEX('Player Board'!$G$4:$G$163,MATCH(B134,'Player Board'!$B$4:$B$163,0)))</f>
        <v/>
      </c>
      <c r="J134" s="1" t="str">
        <f>IF(B134="","",INDEX('Player Board'!$N$4:$N$163,MATCH(B134,'Player Board'!$B$4:$B$163,0)))</f>
        <v/>
      </c>
      <c r="K134" t="str">
        <f>IF(B134="","",IFERROR(INDEX('Player Board'!$Q$4:$Q$163,MATCH(B134,'Player Board'!$B$4:$B$163,0)),""))</f>
        <v/>
      </c>
      <c r="L134" t="str">
        <f t="shared" si="4"/>
        <v/>
      </c>
    </row>
    <row r="135" spans="1:12">
      <c r="A135">
        <f>IFERROR(SMALL('Player Board'!$O$4:$O$163,131),"")</f>
        <v>9999</v>
      </c>
      <c r="B135" t="str">
        <f>IF(OR(A135="",A135=9999),"",INDEX('Player Board'!$B$4:$B$163,MATCH(A135,'Player Board'!$H$4:$H$163,0)))</f>
        <v/>
      </c>
      <c r="C135" t="str">
        <f>IF(B135="","",INDEX('Player Board'!$C$4:$C$163,MATCH(B135,'Player Board'!$B$4:$B$163,0)))</f>
        <v/>
      </c>
      <c r="D135" t="str">
        <f>IF(B135="","",INDEX('Player Board'!$D$4:$D$163,MATCH(B135,'Player Board'!$B$4:$B$163,0)))</f>
        <v/>
      </c>
      <c r="E135" t="str">
        <f>IF(B135="","",INDEX('Player Board'!$H$4:$H$163,MATCH(B135,'Player Board'!$B$4:$B$163,0)))</f>
        <v/>
      </c>
      <c r="F135" t="str">
        <f>IF(B135="","",INDEX('Player Board'!$F$4:$F$163,MATCH(B135,'Player Board'!$B$4:$B$163,0)))</f>
        <v/>
      </c>
      <c r="G135" t="str">
        <f>IF(B135="","",INDEX('Player Board'!$P$4:$P$163,MATCH(B135,'Player Board'!$B$4:$B$163,0)))</f>
        <v/>
      </c>
      <c r="H135" t="str">
        <f>IF(B135="","",INDEX('Player Board'!$M$4:$M$163,MATCH(B135,'Player Board'!$B$4:$B$163,0)))</f>
        <v/>
      </c>
      <c r="I135" t="str">
        <f>IF(B135="","",INDEX('Player Board'!$G$4:$G$163,MATCH(B135,'Player Board'!$B$4:$B$163,0)))</f>
        <v/>
      </c>
      <c r="J135" s="1" t="str">
        <f>IF(B135="","",INDEX('Player Board'!$N$4:$N$163,MATCH(B135,'Player Board'!$B$4:$B$163,0)))</f>
        <v/>
      </c>
      <c r="K135" t="str">
        <f>IF(B135="","",IFERROR(INDEX('Player Board'!$Q$4:$Q$163,MATCH(B135,'Player Board'!$B$4:$B$163,0)),""))</f>
        <v/>
      </c>
      <c r="L135" t="str">
        <f t="shared" si="4"/>
        <v/>
      </c>
    </row>
    <row r="136" spans="1:12">
      <c r="A136">
        <f>IFERROR(SMALL('Player Board'!$O$4:$O$163,132),"")</f>
        <v>9999</v>
      </c>
      <c r="B136" t="str">
        <f>IF(OR(A136="",A136=9999),"",INDEX('Player Board'!$B$4:$B$163,MATCH(A136,'Player Board'!$H$4:$H$163,0)))</f>
        <v/>
      </c>
      <c r="C136" t="str">
        <f>IF(B136="","",INDEX('Player Board'!$C$4:$C$163,MATCH(B136,'Player Board'!$B$4:$B$163,0)))</f>
        <v/>
      </c>
      <c r="D136" t="str">
        <f>IF(B136="","",INDEX('Player Board'!$D$4:$D$163,MATCH(B136,'Player Board'!$B$4:$B$163,0)))</f>
        <v/>
      </c>
      <c r="E136" t="str">
        <f>IF(B136="","",INDEX('Player Board'!$H$4:$H$163,MATCH(B136,'Player Board'!$B$4:$B$163,0)))</f>
        <v/>
      </c>
      <c r="F136" t="str">
        <f>IF(B136="","",INDEX('Player Board'!$F$4:$F$163,MATCH(B136,'Player Board'!$B$4:$B$163,0)))</f>
        <v/>
      </c>
      <c r="G136" t="str">
        <f>IF(B136="","",INDEX('Player Board'!$P$4:$P$163,MATCH(B136,'Player Board'!$B$4:$B$163,0)))</f>
        <v/>
      </c>
      <c r="H136" t="str">
        <f>IF(B136="","",INDEX('Player Board'!$M$4:$M$163,MATCH(B136,'Player Board'!$B$4:$B$163,0)))</f>
        <v/>
      </c>
      <c r="I136" t="str">
        <f>IF(B136="","",INDEX('Player Board'!$G$4:$G$163,MATCH(B136,'Player Board'!$B$4:$B$163,0)))</f>
        <v/>
      </c>
      <c r="J136" s="1" t="str">
        <f>IF(B136="","",INDEX('Player Board'!$N$4:$N$163,MATCH(B136,'Player Board'!$B$4:$B$163,0)))</f>
        <v/>
      </c>
      <c r="K136" t="str">
        <f>IF(B136="","",IFERROR(INDEX('Player Board'!$Q$4:$Q$163,MATCH(B136,'Player Board'!$B$4:$B$163,0)),""))</f>
        <v/>
      </c>
      <c r="L136" t="str">
        <f t="shared" si="4"/>
        <v/>
      </c>
    </row>
    <row r="137" spans="1:12">
      <c r="A137">
        <f>IFERROR(SMALL('Player Board'!$O$4:$O$163,133),"")</f>
        <v>9999</v>
      </c>
      <c r="B137" t="str">
        <f>IF(OR(A137="",A137=9999),"",INDEX('Player Board'!$B$4:$B$163,MATCH(A137,'Player Board'!$H$4:$H$163,0)))</f>
        <v/>
      </c>
      <c r="C137" t="str">
        <f>IF(B137="","",INDEX('Player Board'!$C$4:$C$163,MATCH(B137,'Player Board'!$B$4:$B$163,0)))</f>
        <v/>
      </c>
      <c r="D137" t="str">
        <f>IF(B137="","",INDEX('Player Board'!$D$4:$D$163,MATCH(B137,'Player Board'!$B$4:$B$163,0)))</f>
        <v/>
      </c>
      <c r="E137" t="str">
        <f>IF(B137="","",INDEX('Player Board'!$H$4:$H$163,MATCH(B137,'Player Board'!$B$4:$B$163,0)))</f>
        <v/>
      </c>
      <c r="F137" t="str">
        <f>IF(B137="","",INDEX('Player Board'!$F$4:$F$163,MATCH(B137,'Player Board'!$B$4:$B$163,0)))</f>
        <v/>
      </c>
      <c r="G137" t="str">
        <f>IF(B137="","",INDEX('Player Board'!$P$4:$P$163,MATCH(B137,'Player Board'!$B$4:$B$163,0)))</f>
        <v/>
      </c>
      <c r="H137" t="str">
        <f>IF(B137="","",INDEX('Player Board'!$M$4:$M$163,MATCH(B137,'Player Board'!$B$4:$B$163,0)))</f>
        <v/>
      </c>
      <c r="I137" t="str">
        <f>IF(B137="","",INDEX('Player Board'!$G$4:$G$163,MATCH(B137,'Player Board'!$B$4:$B$163,0)))</f>
        <v/>
      </c>
      <c r="J137" s="1" t="str">
        <f>IF(B137="","",INDEX('Player Board'!$N$4:$N$163,MATCH(B137,'Player Board'!$B$4:$B$163,0)))</f>
        <v/>
      </c>
      <c r="K137" t="str">
        <f>IF(B137="","",IFERROR(INDEX('Player Board'!$Q$4:$Q$163,MATCH(B137,'Player Board'!$B$4:$B$163,0)),""))</f>
        <v/>
      </c>
      <c r="L137" t="str">
        <f t="shared" si="4"/>
        <v/>
      </c>
    </row>
    <row r="138" spans="1:12">
      <c r="A138">
        <f>IFERROR(SMALL('Player Board'!$O$4:$O$163,134),"")</f>
        <v>9999</v>
      </c>
      <c r="B138" t="str">
        <f>IF(OR(A138="",A138=9999),"",INDEX('Player Board'!$B$4:$B$163,MATCH(A138,'Player Board'!$H$4:$H$163,0)))</f>
        <v/>
      </c>
      <c r="C138" t="str">
        <f>IF(B138="","",INDEX('Player Board'!$C$4:$C$163,MATCH(B138,'Player Board'!$B$4:$B$163,0)))</f>
        <v/>
      </c>
      <c r="D138" t="str">
        <f>IF(B138="","",INDEX('Player Board'!$D$4:$D$163,MATCH(B138,'Player Board'!$B$4:$B$163,0)))</f>
        <v/>
      </c>
      <c r="E138" t="str">
        <f>IF(B138="","",INDEX('Player Board'!$H$4:$H$163,MATCH(B138,'Player Board'!$B$4:$B$163,0)))</f>
        <v/>
      </c>
      <c r="F138" t="str">
        <f>IF(B138="","",INDEX('Player Board'!$F$4:$F$163,MATCH(B138,'Player Board'!$B$4:$B$163,0)))</f>
        <v/>
      </c>
      <c r="G138" t="str">
        <f>IF(B138="","",INDEX('Player Board'!$P$4:$P$163,MATCH(B138,'Player Board'!$B$4:$B$163,0)))</f>
        <v/>
      </c>
      <c r="H138" t="str">
        <f>IF(B138="","",INDEX('Player Board'!$M$4:$M$163,MATCH(B138,'Player Board'!$B$4:$B$163,0)))</f>
        <v/>
      </c>
      <c r="I138" t="str">
        <f>IF(B138="","",INDEX('Player Board'!$G$4:$G$163,MATCH(B138,'Player Board'!$B$4:$B$163,0)))</f>
        <v/>
      </c>
      <c r="J138" s="1" t="str">
        <f>IF(B138="","",INDEX('Player Board'!$N$4:$N$163,MATCH(B138,'Player Board'!$B$4:$B$163,0)))</f>
        <v/>
      </c>
      <c r="K138" t="str">
        <f>IF(B138="","",IFERROR(INDEX('Player Board'!$Q$4:$Q$163,MATCH(B138,'Player Board'!$B$4:$B$163,0)),""))</f>
        <v/>
      </c>
      <c r="L138" t="str">
        <f t="shared" si="4"/>
        <v/>
      </c>
    </row>
    <row r="139" spans="1:12">
      <c r="A139">
        <f>IFERROR(SMALL('Player Board'!$O$4:$O$163,135),"")</f>
        <v>9999</v>
      </c>
      <c r="B139" t="str">
        <f>IF(OR(A139="",A139=9999),"",INDEX('Player Board'!$B$4:$B$163,MATCH(A139,'Player Board'!$H$4:$H$163,0)))</f>
        <v/>
      </c>
      <c r="C139" t="str">
        <f>IF(B139="","",INDEX('Player Board'!$C$4:$C$163,MATCH(B139,'Player Board'!$B$4:$B$163,0)))</f>
        <v/>
      </c>
      <c r="D139" t="str">
        <f>IF(B139="","",INDEX('Player Board'!$D$4:$D$163,MATCH(B139,'Player Board'!$B$4:$B$163,0)))</f>
        <v/>
      </c>
      <c r="E139" t="str">
        <f>IF(B139="","",INDEX('Player Board'!$H$4:$H$163,MATCH(B139,'Player Board'!$B$4:$B$163,0)))</f>
        <v/>
      </c>
      <c r="F139" t="str">
        <f>IF(B139="","",INDEX('Player Board'!$F$4:$F$163,MATCH(B139,'Player Board'!$B$4:$B$163,0)))</f>
        <v/>
      </c>
      <c r="G139" t="str">
        <f>IF(B139="","",INDEX('Player Board'!$P$4:$P$163,MATCH(B139,'Player Board'!$B$4:$B$163,0)))</f>
        <v/>
      </c>
      <c r="H139" t="str">
        <f>IF(B139="","",INDEX('Player Board'!$M$4:$M$163,MATCH(B139,'Player Board'!$B$4:$B$163,0)))</f>
        <v/>
      </c>
      <c r="I139" t="str">
        <f>IF(B139="","",INDEX('Player Board'!$G$4:$G$163,MATCH(B139,'Player Board'!$B$4:$B$163,0)))</f>
        <v/>
      </c>
      <c r="J139" s="1" t="str">
        <f>IF(B139="","",INDEX('Player Board'!$N$4:$N$163,MATCH(B139,'Player Board'!$B$4:$B$163,0)))</f>
        <v/>
      </c>
      <c r="K139" t="str">
        <f>IF(B139="","",IFERROR(INDEX('Player Board'!$Q$4:$Q$163,MATCH(B139,'Player Board'!$B$4:$B$163,0)),""))</f>
        <v/>
      </c>
      <c r="L139" t="str">
        <f t="shared" si="4"/>
        <v/>
      </c>
    </row>
    <row r="140" spans="1:12">
      <c r="A140">
        <f>IFERROR(SMALL('Player Board'!$O$4:$O$163,136),"")</f>
        <v>9999</v>
      </c>
      <c r="B140" t="str">
        <f>IF(OR(A140="",A140=9999),"",INDEX('Player Board'!$B$4:$B$163,MATCH(A140,'Player Board'!$H$4:$H$163,0)))</f>
        <v/>
      </c>
      <c r="C140" t="str">
        <f>IF(B140="","",INDEX('Player Board'!$C$4:$C$163,MATCH(B140,'Player Board'!$B$4:$B$163,0)))</f>
        <v/>
      </c>
      <c r="D140" t="str">
        <f>IF(B140="","",INDEX('Player Board'!$D$4:$D$163,MATCH(B140,'Player Board'!$B$4:$B$163,0)))</f>
        <v/>
      </c>
      <c r="E140" t="str">
        <f>IF(B140="","",INDEX('Player Board'!$H$4:$H$163,MATCH(B140,'Player Board'!$B$4:$B$163,0)))</f>
        <v/>
      </c>
      <c r="F140" t="str">
        <f>IF(B140="","",INDEX('Player Board'!$F$4:$F$163,MATCH(B140,'Player Board'!$B$4:$B$163,0)))</f>
        <v/>
      </c>
      <c r="G140" t="str">
        <f>IF(B140="","",INDEX('Player Board'!$P$4:$P$163,MATCH(B140,'Player Board'!$B$4:$B$163,0)))</f>
        <v/>
      </c>
      <c r="H140" t="str">
        <f>IF(B140="","",INDEX('Player Board'!$M$4:$M$163,MATCH(B140,'Player Board'!$B$4:$B$163,0)))</f>
        <v/>
      </c>
      <c r="I140" t="str">
        <f>IF(B140="","",INDEX('Player Board'!$G$4:$G$163,MATCH(B140,'Player Board'!$B$4:$B$163,0)))</f>
        <v/>
      </c>
      <c r="J140" s="1" t="str">
        <f>IF(B140="","",INDEX('Player Board'!$N$4:$N$163,MATCH(B140,'Player Board'!$B$4:$B$163,0)))</f>
        <v/>
      </c>
      <c r="K140" t="str">
        <f>IF(B140="","",IFERROR(INDEX('Player Board'!$Q$4:$Q$163,MATCH(B140,'Player Board'!$B$4:$B$163,0)),""))</f>
        <v/>
      </c>
      <c r="L140" t="str">
        <f t="shared" si="4"/>
        <v/>
      </c>
    </row>
    <row r="141" spans="1:12">
      <c r="A141">
        <f>IFERROR(SMALL('Player Board'!$O$4:$O$163,137),"")</f>
        <v>9999</v>
      </c>
      <c r="B141" t="str">
        <f>IF(OR(A141="",A141=9999),"",INDEX('Player Board'!$B$4:$B$163,MATCH(A141,'Player Board'!$H$4:$H$163,0)))</f>
        <v/>
      </c>
      <c r="C141" t="str">
        <f>IF(B141="","",INDEX('Player Board'!$C$4:$C$163,MATCH(B141,'Player Board'!$B$4:$B$163,0)))</f>
        <v/>
      </c>
      <c r="D141" t="str">
        <f>IF(B141="","",INDEX('Player Board'!$D$4:$D$163,MATCH(B141,'Player Board'!$B$4:$B$163,0)))</f>
        <v/>
      </c>
      <c r="E141" t="str">
        <f>IF(B141="","",INDEX('Player Board'!$H$4:$H$163,MATCH(B141,'Player Board'!$B$4:$B$163,0)))</f>
        <v/>
      </c>
      <c r="F141" t="str">
        <f>IF(B141="","",INDEX('Player Board'!$F$4:$F$163,MATCH(B141,'Player Board'!$B$4:$B$163,0)))</f>
        <v/>
      </c>
      <c r="G141" t="str">
        <f>IF(B141="","",INDEX('Player Board'!$P$4:$P$163,MATCH(B141,'Player Board'!$B$4:$B$163,0)))</f>
        <v/>
      </c>
      <c r="H141" t="str">
        <f>IF(B141="","",INDEX('Player Board'!$M$4:$M$163,MATCH(B141,'Player Board'!$B$4:$B$163,0)))</f>
        <v/>
      </c>
      <c r="I141" t="str">
        <f>IF(B141="","",INDEX('Player Board'!$G$4:$G$163,MATCH(B141,'Player Board'!$B$4:$B$163,0)))</f>
        <v/>
      </c>
      <c r="J141" s="1" t="str">
        <f>IF(B141="","",INDEX('Player Board'!$N$4:$N$163,MATCH(B141,'Player Board'!$B$4:$B$163,0)))</f>
        <v/>
      </c>
      <c r="K141" t="str">
        <f>IF(B141="","",IFERROR(INDEX('Player Board'!$Q$4:$Q$163,MATCH(B141,'Player Board'!$B$4:$B$163,0)),""))</f>
        <v/>
      </c>
      <c r="L141" t="str">
        <f t="shared" si="4"/>
        <v/>
      </c>
    </row>
    <row r="142" spans="1:12">
      <c r="A142">
        <f>IFERROR(SMALL('Player Board'!$O$4:$O$163,138),"")</f>
        <v>9999</v>
      </c>
      <c r="B142" t="str">
        <f>IF(OR(A142="",A142=9999),"",INDEX('Player Board'!$B$4:$B$163,MATCH(A142,'Player Board'!$H$4:$H$163,0)))</f>
        <v/>
      </c>
      <c r="C142" t="str">
        <f>IF(B142="","",INDEX('Player Board'!$C$4:$C$163,MATCH(B142,'Player Board'!$B$4:$B$163,0)))</f>
        <v/>
      </c>
      <c r="D142" t="str">
        <f>IF(B142="","",INDEX('Player Board'!$D$4:$D$163,MATCH(B142,'Player Board'!$B$4:$B$163,0)))</f>
        <v/>
      </c>
      <c r="E142" t="str">
        <f>IF(B142="","",INDEX('Player Board'!$H$4:$H$163,MATCH(B142,'Player Board'!$B$4:$B$163,0)))</f>
        <v/>
      </c>
      <c r="F142" t="str">
        <f>IF(B142="","",INDEX('Player Board'!$F$4:$F$163,MATCH(B142,'Player Board'!$B$4:$B$163,0)))</f>
        <v/>
      </c>
      <c r="G142" t="str">
        <f>IF(B142="","",INDEX('Player Board'!$P$4:$P$163,MATCH(B142,'Player Board'!$B$4:$B$163,0)))</f>
        <v/>
      </c>
      <c r="H142" t="str">
        <f>IF(B142="","",INDEX('Player Board'!$M$4:$M$163,MATCH(B142,'Player Board'!$B$4:$B$163,0)))</f>
        <v/>
      </c>
      <c r="I142" t="str">
        <f>IF(B142="","",INDEX('Player Board'!$G$4:$G$163,MATCH(B142,'Player Board'!$B$4:$B$163,0)))</f>
        <v/>
      </c>
      <c r="J142" s="1" t="str">
        <f>IF(B142="","",INDEX('Player Board'!$N$4:$N$163,MATCH(B142,'Player Board'!$B$4:$B$163,0)))</f>
        <v/>
      </c>
      <c r="K142" t="str">
        <f>IF(B142="","",IFERROR(INDEX('Player Board'!$Q$4:$Q$163,MATCH(B142,'Player Board'!$B$4:$B$163,0)),""))</f>
        <v/>
      </c>
      <c r="L142" t="str">
        <f t="shared" si="4"/>
        <v/>
      </c>
    </row>
    <row r="143" spans="1:12">
      <c r="A143">
        <f>IFERROR(SMALL('Player Board'!$O$4:$O$163,139),"")</f>
        <v>9999</v>
      </c>
      <c r="B143" t="str">
        <f>IF(OR(A143="",A143=9999),"",INDEX('Player Board'!$B$4:$B$163,MATCH(A143,'Player Board'!$H$4:$H$163,0)))</f>
        <v/>
      </c>
      <c r="C143" t="str">
        <f>IF(B143="","",INDEX('Player Board'!$C$4:$C$163,MATCH(B143,'Player Board'!$B$4:$B$163,0)))</f>
        <v/>
      </c>
      <c r="D143" t="str">
        <f>IF(B143="","",INDEX('Player Board'!$D$4:$D$163,MATCH(B143,'Player Board'!$B$4:$B$163,0)))</f>
        <v/>
      </c>
      <c r="E143" t="str">
        <f>IF(B143="","",INDEX('Player Board'!$H$4:$H$163,MATCH(B143,'Player Board'!$B$4:$B$163,0)))</f>
        <v/>
      </c>
      <c r="F143" t="str">
        <f>IF(B143="","",INDEX('Player Board'!$F$4:$F$163,MATCH(B143,'Player Board'!$B$4:$B$163,0)))</f>
        <v/>
      </c>
      <c r="G143" t="str">
        <f>IF(B143="","",INDEX('Player Board'!$P$4:$P$163,MATCH(B143,'Player Board'!$B$4:$B$163,0)))</f>
        <v/>
      </c>
      <c r="H143" t="str">
        <f>IF(B143="","",INDEX('Player Board'!$M$4:$M$163,MATCH(B143,'Player Board'!$B$4:$B$163,0)))</f>
        <v/>
      </c>
      <c r="I143" t="str">
        <f>IF(B143="","",INDEX('Player Board'!$G$4:$G$163,MATCH(B143,'Player Board'!$B$4:$B$163,0)))</f>
        <v/>
      </c>
      <c r="J143" s="1" t="str">
        <f>IF(B143="","",INDEX('Player Board'!$N$4:$N$163,MATCH(B143,'Player Board'!$B$4:$B$163,0)))</f>
        <v/>
      </c>
      <c r="K143" t="str">
        <f>IF(B143="","",IFERROR(INDEX('Player Board'!$Q$4:$Q$163,MATCH(B143,'Player Board'!$B$4:$B$163,0)),""))</f>
        <v/>
      </c>
      <c r="L143" t="str">
        <f t="shared" si="4"/>
        <v/>
      </c>
    </row>
    <row r="144" spans="1:12">
      <c r="A144">
        <f>IFERROR(SMALL('Player Board'!$O$4:$O$163,140),"")</f>
        <v>9999</v>
      </c>
      <c r="B144" t="str">
        <f>IF(OR(A144="",A144=9999),"",INDEX('Player Board'!$B$4:$B$163,MATCH(A144,'Player Board'!$H$4:$H$163,0)))</f>
        <v/>
      </c>
      <c r="C144" t="str">
        <f>IF(B144="","",INDEX('Player Board'!$C$4:$C$163,MATCH(B144,'Player Board'!$B$4:$B$163,0)))</f>
        <v/>
      </c>
      <c r="D144" t="str">
        <f>IF(B144="","",INDEX('Player Board'!$D$4:$D$163,MATCH(B144,'Player Board'!$B$4:$B$163,0)))</f>
        <v/>
      </c>
      <c r="E144" t="str">
        <f>IF(B144="","",INDEX('Player Board'!$H$4:$H$163,MATCH(B144,'Player Board'!$B$4:$B$163,0)))</f>
        <v/>
      </c>
      <c r="F144" t="str">
        <f>IF(B144="","",INDEX('Player Board'!$F$4:$F$163,MATCH(B144,'Player Board'!$B$4:$B$163,0)))</f>
        <v/>
      </c>
      <c r="G144" t="str">
        <f>IF(B144="","",INDEX('Player Board'!$P$4:$P$163,MATCH(B144,'Player Board'!$B$4:$B$163,0)))</f>
        <v/>
      </c>
      <c r="H144" t="str">
        <f>IF(B144="","",INDEX('Player Board'!$M$4:$M$163,MATCH(B144,'Player Board'!$B$4:$B$163,0)))</f>
        <v/>
      </c>
      <c r="I144" t="str">
        <f>IF(B144="","",INDEX('Player Board'!$G$4:$G$163,MATCH(B144,'Player Board'!$B$4:$B$163,0)))</f>
        <v/>
      </c>
      <c r="J144" s="1" t="str">
        <f>IF(B144="","",INDEX('Player Board'!$N$4:$N$163,MATCH(B144,'Player Board'!$B$4:$B$163,0)))</f>
        <v/>
      </c>
      <c r="K144" t="str">
        <f>IF(B144="","",IFERROR(INDEX('Player Board'!$Q$4:$Q$163,MATCH(B144,'Player Board'!$B$4:$B$163,0)),""))</f>
        <v/>
      </c>
      <c r="L144" t="str">
        <f t="shared" si="4"/>
        <v/>
      </c>
    </row>
    <row r="145" spans="1:12">
      <c r="A145">
        <f>IFERROR(SMALL('Player Board'!$O$4:$O$163,141),"")</f>
        <v>9999</v>
      </c>
      <c r="B145" t="str">
        <f>IF(OR(A145="",A145=9999),"",INDEX('Player Board'!$B$4:$B$163,MATCH(A145,'Player Board'!$H$4:$H$163,0)))</f>
        <v/>
      </c>
      <c r="C145" t="str">
        <f>IF(B145="","",INDEX('Player Board'!$C$4:$C$163,MATCH(B145,'Player Board'!$B$4:$B$163,0)))</f>
        <v/>
      </c>
      <c r="D145" t="str">
        <f>IF(B145="","",INDEX('Player Board'!$D$4:$D$163,MATCH(B145,'Player Board'!$B$4:$B$163,0)))</f>
        <v/>
      </c>
      <c r="E145" t="str">
        <f>IF(B145="","",INDEX('Player Board'!$H$4:$H$163,MATCH(B145,'Player Board'!$B$4:$B$163,0)))</f>
        <v/>
      </c>
      <c r="F145" t="str">
        <f>IF(B145="","",INDEX('Player Board'!$F$4:$F$163,MATCH(B145,'Player Board'!$B$4:$B$163,0)))</f>
        <v/>
      </c>
      <c r="G145" t="str">
        <f>IF(B145="","",INDEX('Player Board'!$P$4:$P$163,MATCH(B145,'Player Board'!$B$4:$B$163,0)))</f>
        <v/>
      </c>
      <c r="H145" t="str">
        <f>IF(B145="","",INDEX('Player Board'!$M$4:$M$163,MATCH(B145,'Player Board'!$B$4:$B$163,0)))</f>
        <v/>
      </c>
      <c r="I145" t="str">
        <f>IF(B145="","",INDEX('Player Board'!$G$4:$G$163,MATCH(B145,'Player Board'!$B$4:$B$163,0)))</f>
        <v/>
      </c>
      <c r="J145" s="1" t="str">
        <f>IF(B145="","",INDEX('Player Board'!$N$4:$N$163,MATCH(B145,'Player Board'!$B$4:$B$163,0)))</f>
        <v/>
      </c>
      <c r="K145" t="str">
        <f>IF(B145="","",IFERROR(INDEX('Player Board'!$Q$4:$Q$163,MATCH(B145,'Player Board'!$B$4:$B$163,0)),""))</f>
        <v/>
      </c>
      <c r="L145" t="str">
        <f t="shared" si="4"/>
        <v/>
      </c>
    </row>
    <row r="146" spans="1:12">
      <c r="A146">
        <f>IFERROR(SMALL('Player Board'!$O$4:$O$163,142),"")</f>
        <v>9999</v>
      </c>
      <c r="B146" t="str">
        <f>IF(OR(A146="",A146=9999),"",INDEX('Player Board'!$B$4:$B$163,MATCH(A146,'Player Board'!$H$4:$H$163,0)))</f>
        <v/>
      </c>
      <c r="C146" t="str">
        <f>IF(B146="","",INDEX('Player Board'!$C$4:$C$163,MATCH(B146,'Player Board'!$B$4:$B$163,0)))</f>
        <v/>
      </c>
      <c r="D146" t="str">
        <f>IF(B146="","",INDEX('Player Board'!$D$4:$D$163,MATCH(B146,'Player Board'!$B$4:$B$163,0)))</f>
        <v/>
      </c>
      <c r="E146" t="str">
        <f>IF(B146="","",INDEX('Player Board'!$H$4:$H$163,MATCH(B146,'Player Board'!$B$4:$B$163,0)))</f>
        <v/>
      </c>
      <c r="F146" t="str">
        <f>IF(B146="","",INDEX('Player Board'!$F$4:$F$163,MATCH(B146,'Player Board'!$B$4:$B$163,0)))</f>
        <v/>
      </c>
      <c r="G146" t="str">
        <f>IF(B146="","",INDEX('Player Board'!$P$4:$P$163,MATCH(B146,'Player Board'!$B$4:$B$163,0)))</f>
        <v/>
      </c>
      <c r="H146" t="str">
        <f>IF(B146="","",INDEX('Player Board'!$M$4:$M$163,MATCH(B146,'Player Board'!$B$4:$B$163,0)))</f>
        <v/>
      </c>
      <c r="I146" t="str">
        <f>IF(B146="","",INDEX('Player Board'!$G$4:$G$163,MATCH(B146,'Player Board'!$B$4:$B$163,0)))</f>
        <v/>
      </c>
      <c r="J146" s="1" t="str">
        <f>IF(B146="","",INDEX('Player Board'!$N$4:$N$163,MATCH(B146,'Player Board'!$B$4:$B$163,0)))</f>
        <v/>
      </c>
      <c r="K146" t="str">
        <f>IF(B146="","",IFERROR(INDEX('Player Board'!$Q$4:$Q$163,MATCH(B146,'Player Board'!$B$4:$B$163,0)),""))</f>
        <v/>
      </c>
      <c r="L146" t="str">
        <f t="shared" si="4"/>
        <v/>
      </c>
    </row>
    <row r="147" spans="1:12">
      <c r="A147">
        <f>IFERROR(SMALL('Player Board'!$O$4:$O$163,143),"")</f>
        <v>9999</v>
      </c>
      <c r="B147" t="str">
        <f>IF(OR(A147="",A147=9999),"",INDEX('Player Board'!$B$4:$B$163,MATCH(A147,'Player Board'!$H$4:$H$163,0)))</f>
        <v/>
      </c>
      <c r="C147" t="str">
        <f>IF(B147="","",INDEX('Player Board'!$C$4:$C$163,MATCH(B147,'Player Board'!$B$4:$B$163,0)))</f>
        <v/>
      </c>
      <c r="D147" t="str">
        <f>IF(B147="","",INDEX('Player Board'!$D$4:$D$163,MATCH(B147,'Player Board'!$B$4:$B$163,0)))</f>
        <v/>
      </c>
      <c r="E147" t="str">
        <f>IF(B147="","",INDEX('Player Board'!$H$4:$H$163,MATCH(B147,'Player Board'!$B$4:$B$163,0)))</f>
        <v/>
      </c>
      <c r="F147" t="str">
        <f>IF(B147="","",INDEX('Player Board'!$F$4:$F$163,MATCH(B147,'Player Board'!$B$4:$B$163,0)))</f>
        <v/>
      </c>
      <c r="G147" t="str">
        <f>IF(B147="","",INDEX('Player Board'!$P$4:$P$163,MATCH(B147,'Player Board'!$B$4:$B$163,0)))</f>
        <v/>
      </c>
      <c r="H147" t="str">
        <f>IF(B147="","",INDEX('Player Board'!$M$4:$M$163,MATCH(B147,'Player Board'!$B$4:$B$163,0)))</f>
        <v/>
      </c>
      <c r="I147" t="str">
        <f>IF(B147="","",INDEX('Player Board'!$G$4:$G$163,MATCH(B147,'Player Board'!$B$4:$B$163,0)))</f>
        <v/>
      </c>
      <c r="J147" s="1" t="str">
        <f>IF(B147="","",INDEX('Player Board'!$N$4:$N$163,MATCH(B147,'Player Board'!$B$4:$B$163,0)))</f>
        <v/>
      </c>
      <c r="K147" t="str">
        <f>IF(B147="","",IFERROR(INDEX('Player Board'!$Q$4:$Q$163,MATCH(B147,'Player Board'!$B$4:$B$163,0)),""))</f>
        <v/>
      </c>
      <c r="L147" t="str">
        <f t="shared" si="4"/>
        <v/>
      </c>
    </row>
    <row r="148" spans="1:12">
      <c r="A148">
        <f>IFERROR(SMALL('Player Board'!$O$4:$O$163,144),"")</f>
        <v>9999</v>
      </c>
      <c r="B148" t="str">
        <f>IF(OR(A148="",A148=9999),"",INDEX('Player Board'!$B$4:$B$163,MATCH(A148,'Player Board'!$H$4:$H$163,0)))</f>
        <v/>
      </c>
      <c r="C148" t="str">
        <f>IF(B148="","",INDEX('Player Board'!$C$4:$C$163,MATCH(B148,'Player Board'!$B$4:$B$163,0)))</f>
        <v/>
      </c>
      <c r="D148" t="str">
        <f>IF(B148="","",INDEX('Player Board'!$D$4:$D$163,MATCH(B148,'Player Board'!$B$4:$B$163,0)))</f>
        <v/>
      </c>
      <c r="E148" t="str">
        <f>IF(B148="","",INDEX('Player Board'!$H$4:$H$163,MATCH(B148,'Player Board'!$B$4:$B$163,0)))</f>
        <v/>
      </c>
      <c r="F148" t="str">
        <f>IF(B148="","",INDEX('Player Board'!$F$4:$F$163,MATCH(B148,'Player Board'!$B$4:$B$163,0)))</f>
        <v/>
      </c>
      <c r="G148" t="str">
        <f>IF(B148="","",INDEX('Player Board'!$P$4:$P$163,MATCH(B148,'Player Board'!$B$4:$B$163,0)))</f>
        <v/>
      </c>
      <c r="H148" t="str">
        <f>IF(B148="","",INDEX('Player Board'!$M$4:$M$163,MATCH(B148,'Player Board'!$B$4:$B$163,0)))</f>
        <v/>
      </c>
      <c r="I148" t="str">
        <f>IF(B148="","",INDEX('Player Board'!$G$4:$G$163,MATCH(B148,'Player Board'!$B$4:$B$163,0)))</f>
        <v/>
      </c>
      <c r="J148" s="1" t="str">
        <f>IF(B148="","",INDEX('Player Board'!$N$4:$N$163,MATCH(B148,'Player Board'!$B$4:$B$163,0)))</f>
        <v/>
      </c>
      <c r="K148" t="str">
        <f>IF(B148="","",IFERROR(INDEX('Player Board'!$Q$4:$Q$163,MATCH(B148,'Player Board'!$B$4:$B$163,0)),""))</f>
        <v/>
      </c>
      <c r="L148" t="str">
        <f t="shared" si="4"/>
        <v/>
      </c>
    </row>
    <row r="149" spans="1:12">
      <c r="A149">
        <f>IFERROR(SMALL('Player Board'!$O$4:$O$163,145),"")</f>
        <v>9999</v>
      </c>
      <c r="B149" t="str">
        <f>IF(OR(A149="",A149=9999),"",INDEX('Player Board'!$B$4:$B$163,MATCH(A149,'Player Board'!$H$4:$H$163,0)))</f>
        <v/>
      </c>
      <c r="C149" t="str">
        <f>IF(B149="","",INDEX('Player Board'!$C$4:$C$163,MATCH(B149,'Player Board'!$B$4:$B$163,0)))</f>
        <v/>
      </c>
      <c r="D149" t="str">
        <f>IF(B149="","",INDEX('Player Board'!$D$4:$D$163,MATCH(B149,'Player Board'!$B$4:$B$163,0)))</f>
        <v/>
      </c>
      <c r="E149" t="str">
        <f>IF(B149="","",INDEX('Player Board'!$H$4:$H$163,MATCH(B149,'Player Board'!$B$4:$B$163,0)))</f>
        <v/>
      </c>
      <c r="F149" t="str">
        <f>IF(B149="","",INDEX('Player Board'!$F$4:$F$163,MATCH(B149,'Player Board'!$B$4:$B$163,0)))</f>
        <v/>
      </c>
      <c r="G149" t="str">
        <f>IF(B149="","",INDEX('Player Board'!$P$4:$P$163,MATCH(B149,'Player Board'!$B$4:$B$163,0)))</f>
        <v/>
      </c>
      <c r="H149" t="str">
        <f>IF(B149="","",INDEX('Player Board'!$M$4:$M$163,MATCH(B149,'Player Board'!$B$4:$B$163,0)))</f>
        <v/>
      </c>
      <c r="I149" t="str">
        <f>IF(B149="","",INDEX('Player Board'!$G$4:$G$163,MATCH(B149,'Player Board'!$B$4:$B$163,0)))</f>
        <v/>
      </c>
      <c r="J149" s="1" t="str">
        <f>IF(B149="","",INDEX('Player Board'!$N$4:$N$163,MATCH(B149,'Player Board'!$B$4:$B$163,0)))</f>
        <v/>
      </c>
      <c r="K149" t="str">
        <f>IF(B149="","",IFERROR(INDEX('Player Board'!$Q$4:$Q$163,MATCH(B149,'Player Board'!$B$4:$B$163,0)),""))</f>
        <v/>
      </c>
      <c r="L149" t="str">
        <f t="shared" si="4"/>
        <v/>
      </c>
    </row>
    <row r="150" spans="1:12">
      <c r="A150">
        <f>IFERROR(SMALL('Player Board'!$O$4:$O$163,146),"")</f>
        <v>9999</v>
      </c>
      <c r="B150" t="str">
        <f>IF(OR(A150="",A150=9999),"",INDEX('Player Board'!$B$4:$B$163,MATCH(A150,'Player Board'!$H$4:$H$163,0)))</f>
        <v/>
      </c>
      <c r="C150" t="str">
        <f>IF(B150="","",INDEX('Player Board'!$C$4:$C$163,MATCH(B150,'Player Board'!$B$4:$B$163,0)))</f>
        <v/>
      </c>
      <c r="D150" t="str">
        <f>IF(B150="","",INDEX('Player Board'!$D$4:$D$163,MATCH(B150,'Player Board'!$B$4:$B$163,0)))</f>
        <v/>
      </c>
      <c r="E150" t="str">
        <f>IF(B150="","",INDEX('Player Board'!$H$4:$H$163,MATCH(B150,'Player Board'!$B$4:$B$163,0)))</f>
        <v/>
      </c>
      <c r="F150" t="str">
        <f>IF(B150="","",INDEX('Player Board'!$F$4:$F$163,MATCH(B150,'Player Board'!$B$4:$B$163,0)))</f>
        <v/>
      </c>
      <c r="G150" t="str">
        <f>IF(B150="","",INDEX('Player Board'!$P$4:$P$163,MATCH(B150,'Player Board'!$B$4:$B$163,0)))</f>
        <v/>
      </c>
      <c r="H150" t="str">
        <f>IF(B150="","",INDEX('Player Board'!$M$4:$M$163,MATCH(B150,'Player Board'!$B$4:$B$163,0)))</f>
        <v/>
      </c>
      <c r="I150" t="str">
        <f>IF(B150="","",INDEX('Player Board'!$G$4:$G$163,MATCH(B150,'Player Board'!$B$4:$B$163,0)))</f>
        <v/>
      </c>
      <c r="J150" s="1" t="str">
        <f>IF(B150="","",INDEX('Player Board'!$N$4:$N$163,MATCH(B150,'Player Board'!$B$4:$B$163,0)))</f>
        <v/>
      </c>
      <c r="K150" t="str">
        <f>IF(B150="","",IFERROR(INDEX('Player Board'!$Q$4:$Q$163,MATCH(B150,'Player Board'!$B$4:$B$163,0)),""))</f>
        <v/>
      </c>
      <c r="L150" t="str">
        <f t="shared" si="4"/>
        <v/>
      </c>
    </row>
    <row r="151" spans="1:12">
      <c r="A151">
        <f>IFERROR(SMALL('Player Board'!$O$4:$O$163,147),"")</f>
        <v>9999</v>
      </c>
      <c r="B151" t="str">
        <f>IF(OR(A151="",A151=9999),"",INDEX('Player Board'!$B$4:$B$163,MATCH(A151,'Player Board'!$H$4:$H$163,0)))</f>
        <v/>
      </c>
      <c r="C151" t="str">
        <f>IF(B151="","",INDEX('Player Board'!$C$4:$C$163,MATCH(B151,'Player Board'!$B$4:$B$163,0)))</f>
        <v/>
      </c>
      <c r="D151" t="str">
        <f>IF(B151="","",INDEX('Player Board'!$D$4:$D$163,MATCH(B151,'Player Board'!$B$4:$B$163,0)))</f>
        <v/>
      </c>
      <c r="E151" t="str">
        <f>IF(B151="","",INDEX('Player Board'!$H$4:$H$163,MATCH(B151,'Player Board'!$B$4:$B$163,0)))</f>
        <v/>
      </c>
      <c r="F151" t="str">
        <f>IF(B151="","",INDEX('Player Board'!$F$4:$F$163,MATCH(B151,'Player Board'!$B$4:$B$163,0)))</f>
        <v/>
      </c>
      <c r="G151" t="str">
        <f>IF(B151="","",INDEX('Player Board'!$P$4:$P$163,MATCH(B151,'Player Board'!$B$4:$B$163,0)))</f>
        <v/>
      </c>
      <c r="H151" t="str">
        <f>IF(B151="","",INDEX('Player Board'!$M$4:$M$163,MATCH(B151,'Player Board'!$B$4:$B$163,0)))</f>
        <v/>
      </c>
      <c r="I151" t="str">
        <f>IF(B151="","",INDEX('Player Board'!$G$4:$G$163,MATCH(B151,'Player Board'!$B$4:$B$163,0)))</f>
        <v/>
      </c>
      <c r="J151" s="1" t="str">
        <f>IF(B151="","",INDEX('Player Board'!$N$4:$N$163,MATCH(B151,'Player Board'!$B$4:$B$163,0)))</f>
        <v/>
      </c>
      <c r="K151" t="str">
        <f>IF(B151="","",IFERROR(INDEX('Player Board'!$Q$4:$Q$163,MATCH(B151,'Player Board'!$B$4:$B$163,0)),""))</f>
        <v/>
      </c>
      <c r="L151" t="str">
        <f t="shared" si="4"/>
        <v/>
      </c>
    </row>
    <row r="152" spans="1:12">
      <c r="A152">
        <f>IFERROR(SMALL('Player Board'!$O$4:$O$163,148),"")</f>
        <v>9999</v>
      </c>
      <c r="B152" t="str">
        <f>IF(OR(A152="",A152=9999),"",INDEX('Player Board'!$B$4:$B$163,MATCH(A152,'Player Board'!$H$4:$H$163,0)))</f>
        <v/>
      </c>
      <c r="C152" t="str">
        <f>IF(B152="","",INDEX('Player Board'!$C$4:$C$163,MATCH(B152,'Player Board'!$B$4:$B$163,0)))</f>
        <v/>
      </c>
      <c r="D152" t="str">
        <f>IF(B152="","",INDEX('Player Board'!$D$4:$D$163,MATCH(B152,'Player Board'!$B$4:$B$163,0)))</f>
        <v/>
      </c>
      <c r="E152" t="str">
        <f>IF(B152="","",INDEX('Player Board'!$H$4:$H$163,MATCH(B152,'Player Board'!$B$4:$B$163,0)))</f>
        <v/>
      </c>
      <c r="F152" t="str">
        <f>IF(B152="","",INDEX('Player Board'!$F$4:$F$163,MATCH(B152,'Player Board'!$B$4:$B$163,0)))</f>
        <v/>
      </c>
      <c r="G152" t="str">
        <f>IF(B152="","",INDEX('Player Board'!$P$4:$P$163,MATCH(B152,'Player Board'!$B$4:$B$163,0)))</f>
        <v/>
      </c>
      <c r="H152" t="str">
        <f>IF(B152="","",INDEX('Player Board'!$M$4:$M$163,MATCH(B152,'Player Board'!$B$4:$B$163,0)))</f>
        <v/>
      </c>
      <c r="I152" t="str">
        <f>IF(B152="","",INDEX('Player Board'!$G$4:$G$163,MATCH(B152,'Player Board'!$B$4:$B$163,0)))</f>
        <v/>
      </c>
      <c r="J152" s="1" t="str">
        <f>IF(B152="","",INDEX('Player Board'!$N$4:$N$163,MATCH(B152,'Player Board'!$B$4:$B$163,0)))</f>
        <v/>
      </c>
      <c r="K152" t="str">
        <f>IF(B152="","",IFERROR(INDEX('Player Board'!$Q$4:$Q$163,MATCH(B152,'Player Board'!$B$4:$B$163,0)),""))</f>
        <v/>
      </c>
      <c r="L152" t="str">
        <f t="shared" si="4"/>
        <v/>
      </c>
    </row>
    <row r="153" spans="1:12">
      <c r="A153">
        <f>IFERROR(SMALL('Player Board'!$O$4:$O$163,149),"")</f>
        <v>9999</v>
      </c>
      <c r="B153" t="str">
        <f>IF(OR(A153="",A153=9999),"",INDEX('Player Board'!$B$4:$B$163,MATCH(A153,'Player Board'!$H$4:$H$163,0)))</f>
        <v/>
      </c>
      <c r="C153" t="str">
        <f>IF(B153="","",INDEX('Player Board'!$C$4:$C$163,MATCH(B153,'Player Board'!$B$4:$B$163,0)))</f>
        <v/>
      </c>
      <c r="D153" t="str">
        <f>IF(B153="","",INDEX('Player Board'!$D$4:$D$163,MATCH(B153,'Player Board'!$B$4:$B$163,0)))</f>
        <v/>
      </c>
      <c r="E153" t="str">
        <f>IF(B153="","",INDEX('Player Board'!$H$4:$H$163,MATCH(B153,'Player Board'!$B$4:$B$163,0)))</f>
        <v/>
      </c>
      <c r="F153" t="str">
        <f>IF(B153="","",INDEX('Player Board'!$F$4:$F$163,MATCH(B153,'Player Board'!$B$4:$B$163,0)))</f>
        <v/>
      </c>
      <c r="G153" t="str">
        <f>IF(B153="","",INDEX('Player Board'!$P$4:$P$163,MATCH(B153,'Player Board'!$B$4:$B$163,0)))</f>
        <v/>
      </c>
      <c r="H153" t="str">
        <f>IF(B153="","",INDEX('Player Board'!$M$4:$M$163,MATCH(B153,'Player Board'!$B$4:$B$163,0)))</f>
        <v/>
      </c>
      <c r="I153" t="str">
        <f>IF(B153="","",INDEX('Player Board'!$G$4:$G$163,MATCH(B153,'Player Board'!$B$4:$B$163,0)))</f>
        <v/>
      </c>
      <c r="J153" s="1" t="str">
        <f>IF(B153="","",INDEX('Player Board'!$N$4:$N$163,MATCH(B153,'Player Board'!$B$4:$B$163,0)))</f>
        <v/>
      </c>
      <c r="K153" t="str">
        <f>IF(B153="","",IFERROR(INDEX('Player Board'!$Q$4:$Q$163,MATCH(B153,'Player Board'!$B$4:$B$163,0)),""))</f>
        <v/>
      </c>
      <c r="L153" t="str">
        <f t="shared" si="4"/>
        <v/>
      </c>
    </row>
    <row r="154" spans="1:12">
      <c r="A154">
        <f>IFERROR(SMALL('Player Board'!$O$4:$O$163,150),"")</f>
        <v>9999</v>
      </c>
      <c r="B154" t="str">
        <f>IF(OR(A154="",A154=9999),"",INDEX('Player Board'!$B$4:$B$163,MATCH(A154,'Player Board'!$H$4:$H$163,0)))</f>
        <v/>
      </c>
      <c r="C154" t="str">
        <f>IF(B154="","",INDEX('Player Board'!$C$4:$C$163,MATCH(B154,'Player Board'!$B$4:$B$163,0)))</f>
        <v/>
      </c>
      <c r="D154" t="str">
        <f>IF(B154="","",INDEX('Player Board'!$D$4:$D$163,MATCH(B154,'Player Board'!$B$4:$B$163,0)))</f>
        <v/>
      </c>
      <c r="E154" t="str">
        <f>IF(B154="","",INDEX('Player Board'!$H$4:$H$163,MATCH(B154,'Player Board'!$B$4:$B$163,0)))</f>
        <v/>
      </c>
      <c r="F154" t="str">
        <f>IF(B154="","",INDEX('Player Board'!$F$4:$F$163,MATCH(B154,'Player Board'!$B$4:$B$163,0)))</f>
        <v/>
      </c>
      <c r="G154" t="str">
        <f>IF(B154="","",INDEX('Player Board'!$P$4:$P$163,MATCH(B154,'Player Board'!$B$4:$B$163,0)))</f>
        <v/>
      </c>
      <c r="H154" t="str">
        <f>IF(B154="","",INDEX('Player Board'!$M$4:$M$163,MATCH(B154,'Player Board'!$B$4:$B$163,0)))</f>
        <v/>
      </c>
      <c r="I154" t="str">
        <f>IF(B154="","",INDEX('Player Board'!$G$4:$G$163,MATCH(B154,'Player Board'!$B$4:$B$163,0)))</f>
        <v/>
      </c>
      <c r="J154" s="1" t="str">
        <f>IF(B154="","",INDEX('Player Board'!$N$4:$N$163,MATCH(B154,'Player Board'!$B$4:$B$163,0)))</f>
        <v/>
      </c>
      <c r="K154" t="str">
        <f>IF(B154="","",IFERROR(INDEX('Player Board'!$Q$4:$Q$163,MATCH(B154,'Player Board'!$B$4:$B$163,0)),""))</f>
        <v/>
      </c>
      <c r="L154" t="str">
        <f t="shared" si="4"/>
        <v/>
      </c>
    </row>
    <row r="155" spans="1:12">
      <c r="A155">
        <f>IFERROR(SMALL('Player Board'!$O$4:$O$163,151),"")</f>
        <v>9999</v>
      </c>
      <c r="B155" t="str">
        <f>IF(OR(A155="",A155=9999),"",INDEX('Player Board'!$B$4:$B$163,MATCH(A155,'Player Board'!$H$4:$H$163,0)))</f>
        <v/>
      </c>
      <c r="C155" t="str">
        <f>IF(B155="","",INDEX('Player Board'!$C$4:$C$163,MATCH(B155,'Player Board'!$B$4:$B$163,0)))</f>
        <v/>
      </c>
      <c r="D155" t="str">
        <f>IF(B155="","",INDEX('Player Board'!$D$4:$D$163,MATCH(B155,'Player Board'!$B$4:$B$163,0)))</f>
        <v/>
      </c>
      <c r="E155" t="str">
        <f>IF(B155="","",INDEX('Player Board'!$H$4:$H$163,MATCH(B155,'Player Board'!$B$4:$B$163,0)))</f>
        <v/>
      </c>
      <c r="F155" t="str">
        <f>IF(B155="","",INDEX('Player Board'!$F$4:$F$163,MATCH(B155,'Player Board'!$B$4:$B$163,0)))</f>
        <v/>
      </c>
      <c r="G155" t="str">
        <f>IF(B155="","",INDEX('Player Board'!$P$4:$P$163,MATCH(B155,'Player Board'!$B$4:$B$163,0)))</f>
        <v/>
      </c>
      <c r="H155" t="str">
        <f>IF(B155="","",INDEX('Player Board'!$M$4:$M$163,MATCH(B155,'Player Board'!$B$4:$B$163,0)))</f>
        <v/>
      </c>
      <c r="I155" t="str">
        <f>IF(B155="","",INDEX('Player Board'!$G$4:$G$163,MATCH(B155,'Player Board'!$B$4:$B$163,0)))</f>
        <v/>
      </c>
      <c r="J155" s="1" t="str">
        <f>IF(B155="","",INDEX('Player Board'!$N$4:$N$163,MATCH(B155,'Player Board'!$B$4:$B$163,0)))</f>
        <v/>
      </c>
      <c r="K155" t="str">
        <f>IF(B155="","",IFERROR(INDEX('Player Board'!$Q$4:$Q$163,MATCH(B155,'Player Board'!$B$4:$B$163,0)),""))</f>
        <v/>
      </c>
      <c r="L155" t="str">
        <f t="shared" si="4"/>
        <v/>
      </c>
    </row>
    <row r="156" spans="1:12">
      <c r="A156">
        <f>IFERROR(SMALL('Player Board'!$O$4:$O$163,152),"")</f>
        <v>9999</v>
      </c>
      <c r="B156" t="str">
        <f>IF(OR(A156="",A156=9999),"",INDEX('Player Board'!$B$4:$B$163,MATCH(A156,'Player Board'!$H$4:$H$163,0)))</f>
        <v/>
      </c>
      <c r="C156" t="str">
        <f>IF(B156="","",INDEX('Player Board'!$C$4:$C$163,MATCH(B156,'Player Board'!$B$4:$B$163,0)))</f>
        <v/>
      </c>
      <c r="D156" t="str">
        <f>IF(B156="","",INDEX('Player Board'!$D$4:$D$163,MATCH(B156,'Player Board'!$B$4:$B$163,0)))</f>
        <v/>
      </c>
      <c r="E156" t="str">
        <f>IF(B156="","",INDEX('Player Board'!$H$4:$H$163,MATCH(B156,'Player Board'!$B$4:$B$163,0)))</f>
        <v/>
      </c>
      <c r="F156" t="str">
        <f>IF(B156="","",INDEX('Player Board'!$F$4:$F$163,MATCH(B156,'Player Board'!$B$4:$B$163,0)))</f>
        <v/>
      </c>
      <c r="G156" t="str">
        <f>IF(B156="","",INDEX('Player Board'!$P$4:$P$163,MATCH(B156,'Player Board'!$B$4:$B$163,0)))</f>
        <v/>
      </c>
      <c r="H156" t="str">
        <f>IF(B156="","",INDEX('Player Board'!$M$4:$M$163,MATCH(B156,'Player Board'!$B$4:$B$163,0)))</f>
        <v/>
      </c>
      <c r="I156" t="str">
        <f>IF(B156="","",INDEX('Player Board'!$G$4:$G$163,MATCH(B156,'Player Board'!$B$4:$B$163,0)))</f>
        <v/>
      </c>
      <c r="J156" s="1" t="str">
        <f>IF(B156="","",INDEX('Player Board'!$N$4:$N$163,MATCH(B156,'Player Board'!$B$4:$B$163,0)))</f>
        <v/>
      </c>
      <c r="K156" t="str">
        <f>IF(B156="","",IFERROR(INDEX('Player Board'!$Q$4:$Q$163,MATCH(B156,'Player Board'!$B$4:$B$163,0)),""))</f>
        <v/>
      </c>
      <c r="L156" t="str">
        <f t="shared" si="4"/>
        <v/>
      </c>
    </row>
    <row r="157" spans="1:12">
      <c r="A157">
        <f>IFERROR(SMALL('Player Board'!$O$4:$O$163,153),"")</f>
        <v>9999</v>
      </c>
      <c r="B157" t="str">
        <f>IF(OR(A157="",A157=9999),"",INDEX('Player Board'!$B$4:$B$163,MATCH(A157,'Player Board'!$H$4:$H$163,0)))</f>
        <v/>
      </c>
      <c r="C157" t="str">
        <f>IF(B157="","",INDEX('Player Board'!$C$4:$C$163,MATCH(B157,'Player Board'!$B$4:$B$163,0)))</f>
        <v/>
      </c>
      <c r="D157" t="str">
        <f>IF(B157="","",INDEX('Player Board'!$D$4:$D$163,MATCH(B157,'Player Board'!$B$4:$B$163,0)))</f>
        <v/>
      </c>
      <c r="E157" t="str">
        <f>IF(B157="","",INDEX('Player Board'!$H$4:$H$163,MATCH(B157,'Player Board'!$B$4:$B$163,0)))</f>
        <v/>
      </c>
      <c r="F157" t="str">
        <f>IF(B157="","",INDEX('Player Board'!$F$4:$F$163,MATCH(B157,'Player Board'!$B$4:$B$163,0)))</f>
        <v/>
      </c>
      <c r="G157" t="str">
        <f>IF(B157="","",INDEX('Player Board'!$P$4:$P$163,MATCH(B157,'Player Board'!$B$4:$B$163,0)))</f>
        <v/>
      </c>
      <c r="H157" t="str">
        <f>IF(B157="","",INDEX('Player Board'!$M$4:$M$163,MATCH(B157,'Player Board'!$B$4:$B$163,0)))</f>
        <v/>
      </c>
      <c r="I157" t="str">
        <f>IF(B157="","",INDEX('Player Board'!$G$4:$G$163,MATCH(B157,'Player Board'!$B$4:$B$163,0)))</f>
        <v/>
      </c>
      <c r="J157" s="1" t="str">
        <f>IF(B157="","",INDEX('Player Board'!$N$4:$N$163,MATCH(B157,'Player Board'!$B$4:$B$163,0)))</f>
        <v/>
      </c>
      <c r="K157" t="str">
        <f>IF(B157="","",IFERROR(INDEX('Player Board'!$Q$4:$Q$163,MATCH(B157,'Player Board'!$B$4:$B$163,0)),""))</f>
        <v/>
      </c>
      <c r="L157" t="str">
        <f t="shared" si="4"/>
        <v/>
      </c>
    </row>
    <row r="158" spans="1:12">
      <c r="A158">
        <f>IFERROR(SMALL('Player Board'!$O$4:$O$163,154),"")</f>
        <v>9999</v>
      </c>
      <c r="B158" t="str">
        <f>IF(OR(A158="",A158=9999),"",INDEX('Player Board'!$B$4:$B$163,MATCH(A158,'Player Board'!$H$4:$H$163,0)))</f>
        <v/>
      </c>
      <c r="C158" t="str">
        <f>IF(B158="","",INDEX('Player Board'!$C$4:$C$163,MATCH(B158,'Player Board'!$B$4:$B$163,0)))</f>
        <v/>
      </c>
      <c r="D158" t="str">
        <f>IF(B158="","",INDEX('Player Board'!$D$4:$D$163,MATCH(B158,'Player Board'!$B$4:$B$163,0)))</f>
        <v/>
      </c>
      <c r="E158" t="str">
        <f>IF(B158="","",INDEX('Player Board'!$H$4:$H$163,MATCH(B158,'Player Board'!$B$4:$B$163,0)))</f>
        <v/>
      </c>
      <c r="F158" t="str">
        <f>IF(B158="","",INDEX('Player Board'!$F$4:$F$163,MATCH(B158,'Player Board'!$B$4:$B$163,0)))</f>
        <v/>
      </c>
      <c r="G158" t="str">
        <f>IF(B158="","",INDEX('Player Board'!$P$4:$P$163,MATCH(B158,'Player Board'!$B$4:$B$163,0)))</f>
        <v/>
      </c>
      <c r="H158" t="str">
        <f>IF(B158="","",INDEX('Player Board'!$M$4:$M$163,MATCH(B158,'Player Board'!$B$4:$B$163,0)))</f>
        <v/>
      </c>
      <c r="I158" t="str">
        <f>IF(B158="","",INDEX('Player Board'!$G$4:$G$163,MATCH(B158,'Player Board'!$B$4:$B$163,0)))</f>
        <v/>
      </c>
      <c r="J158" s="1" t="str">
        <f>IF(B158="","",INDEX('Player Board'!$N$4:$N$163,MATCH(B158,'Player Board'!$B$4:$B$163,0)))</f>
        <v/>
      </c>
      <c r="K158" t="str">
        <f>IF(B158="","",IFERROR(INDEX('Player Board'!$Q$4:$Q$163,MATCH(B158,'Player Board'!$B$4:$B$163,0)),""))</f>
        <v/>
      </c>
      <c r="L158" t="str">
        <f t="shared" si="4"/>
        <v/>
      </c>
    </row>
    <row r="159" spans="1:12">
      <c r="A159">
        <f>IFERROR(SMALL('Player Board'!$O$4:$O$163,155),"")</f>
        <v>9999</v>
      </c>
      <c r="B159" t="str">
        <f>IF(OR(A159="",A159=9999),"",INDEX('Player Board'!$B$4:$B$163,MATCH(A159,'Player Board'!$H$4:$H$163,0)))</f>
        <v/>
      </c>
      <c r="C159" t="str">
        <f>IF(B159="","",INDEX('Player Board'!$C$4:$C$163,MATCH(B159,'Player Board'!$B$4:$B$163,0)))</f>
        <v/>
      </c>
      <c r="D159" t="str">
        <f>IF(B159="","",INDEX('Player Board'!$D$4:$D$163,MATCH(B159,'Player Board'!$B$4:$B$163,0)))</f>
        <v/>
      </c>
      <c r="E159" t="str">
        <f>IF(B159="","",INDEX('Player Board'!$H$4:$H$163,MATCH(B159,'Player Board'!$B$4:$B$163,0)))</f>
        <v/>
      </c>
      <c r="F159" t="str">
        <f>IF(B159="","",INDEX('Player Board'!$F$4:$F$163,MATCH(B159,'Player Board'!$B$4:$B$163,0)))</f>
        <v/>
      </c>
      <c r="G159" t="str">
        <f>IF(B159="","",INDEX('Player Board'!$P$4:$P$163,MATCH(B159,'Player Board'!$B$4:$B$163,0)))</f>
        <v/>
      </c>
      <c r="H159" t="str">
        <f>IF(B159="","",INDEX('Player Board'!$M$4:$M$163,MATCH(B159,'Player Board'!$B$4:$B$163,0)))</f>
        <v/>
      </c>
      <c r="I159" t="str">
        <f>IF(B159="","",INDEX('Player Board'!$G$4:$G$163,MATCH(B159,'Player Board'!$B$4:$B$163,0)))</f>
        <v/>
      </c>
      <c r="J159" s="1" t="str">
        <f>IF(B159="","",INDEX('Player Board'!$N$4:$N$163,MATCH(B159,'Player Board'!$B$4:$B$163,0)))</f>
        <v/>
      </c>
      <c r="K159" t="str">
        <f>IF(B159="","",IFERROR(INDEX('Player Board'!$Q$4:$Q$163,MATCH(B159,'Player Board'!$B$4:$B$163,0)),""))</f>
        <v/>
      </c>
      <c r="L159" t="str">
        <f t="shared" si="4"/>
        <v/>
      </c>
    </row>
    <row r="160" spans="1:12">
      <c r="A160">
        <f>IFERROR(SMALL('Player Board'!$O$4:$O$163,156),"")</f>
        <v>9999</v>
      </c>
      <c r="B160" t="str">
        <f>IF(OR(A160="",A160=9999),"",INDEX('Player Board'!$B$4:$B$163,MATCH(A160,'Player Board'!$H$4:$H$163,0)))</f>
        <v/>
      </c>
      <c r="C160" t="str">
        <f>IF(B160="","",INDEX('Player Board'!$C$4:$C$163,MATCH(B160,'Player Board'!$B$4:$B$163,0)))</f>
        <v/>
      </c>
      <c r="D160" t="str">
        <f>IF(B160="","",INDEX('Player Board'!$D$4:$D$163,MATCH(B160,'Player Board'!$B$4:$B$163,0)))</f>
        <v/>
      </c>
      <c r="E160" t="str">
        <f>IF(B160="","",INDEX('Player Board'!$H$4:$H$163,MATCH(B160,'Player Board'!$B$4:$B$163,0)))</f>
        <v/>
      </c>
      <c r="F160" t="str">
        <f>IF(B160="","",INDEX('Player Board'!$F$4:$F$163,MATCH(B160,'Player Board'!$B$4:$B$163,0)))</f>
        <v/>
      </c>
      <c r="G160" t="str">
        <f>IF(B160="","",INDEX('Player Board'!$P$4:$P$163,MATCH(B160,'Player Board'!$B$4:$B$163,0)))</f>
        <v/>
      </c>
      <c r="H160" t="str">
        <f>IF(B160="","",INDEX('Player Board'!$M$4:$M$163,MATCH(B160,'Player Board'!$B$4:$B$163,0)))</f>
        <v/>
      </c>
      <c r="I160" t="str">
        <f>IF(B160="","",INDEX('Player Board'!$G$4:$G$163,MATCH(B160,'Player Board'!$B$4:$B$163,0)))</f>
        <v/>
      </c>
      <c r="J160" s="1" t="str">
        <f>IF(B160="","",INDEX('Player Board'!$N$4:$N$163,MATCH(B160,'Player Board'!$B$4:$B$163,0)))</f>
        <v/>
      </c>
      <c r="K160" t="str">
        <f>IF(B160="","",IFERROR(INDEX('Player Board'!$Q$4:$Q$163,MATCH(B160,'Player Board'!$B$4:$B$163,0)),""))</f>
        <v/>
      </c>
      <c r="L160" t="str">
        <f t="shared" si="4"/>
        <v/>
      </c>
    </row>
    <row r="161" spans="1:12">
      <c r="A161">
        <f>IFERROR(SMALL('Player Board'!$O$4:$O$163,157),"")</f>
        <v>9999</v>
      </c>
      <c r="B161" t="str">
        <f>IF(OR(A161="",A161=9999),"",INDEX('Player Board'!$B$4:$B$163,MATCH(A161,'Player Board'!$H$4:$H$163,0)))</f>
        <v/>
      </c>
      <c r="C161" t="str">
        <f>IF(B161="","",INDEX('Player Board'!$C$4:$C$163,MATCH(B161,'Player Board'!$B$4:$B$163,0)))</f>
        <v/>
      </c>
      <c r="D161" t="str">
        <f>IF(B161="","",INDEX('Player Board'!$D$4:$D$163,MATCH(B161,'Player Board'!$B$4:$B$163,0)))</f>
        <v/>
      </c>
      <c r="E161" t="str">
        <f>IF(B161="","",INDEX('Player Board'!$H$4:$H$163,MATCH(B161,'Player Board'!$B$4:$B$163,0)))</f>
        <v/>
      </c>
      <c r="F161" t="str">
        <f>IF(B161="","",INDEX('Player Board'!$F$4:$F$163,MATCH(B161,'Player Board'!$B$4:$B$163,0)))</f>
        <v/>
      </c>
      <c r="G161" t="str">
        <f>IF(B161="","",INDEX('Player Board'!$P$4:$P$163,MATCH(B161,'Player Board'!$B$4:$B$163,0)))</f>
        <v/>
      </c>
      <c r="H161" t="str">
        <f>IF(B161="","",INDEX('Player Board'!$M$4:$M$163,MATCH(B161,'Player Board'!$B$4:$B$163,0)))</f>
        <v/>
      </c>
      <c r="I161" t="str">
        <f>IF(B161="","",INDEX('Player Board'!$G$4:$G$163,MATCH(B161,'Player Board'!$B$4:$B$163,0)))</f>
        <v/>
      </c>
      <c r="J161" s="1" t="str">
        <f>IF(B161="","",INDEX('Player Board'!$N$4:$N$163,MATCH(B161,'Player Board'!$B$4:$B$163,0)))</f>
        <v/>
      </c>
      <c r="K161" t="str">
        <f>IF(B161="","",IFERROR(INDEX('Player Board'!$Q$4:$Q$163,MATCH(B161,'Player Board'!$B$4:$B$163,0)),""))</f>
        <v/>
      </c>
      <c r="L161" t="str">
        <f t="shared" si="4"/>
        <v/>
      </c>
    </row>
    <row r="162" spans="1:12">
      <c r="A162">
        <f>IFERROR(SMALL('Player Board'!$O$4:$O$163,158),"")</f>
        <v>9999</v>
      </c>
      <c r="B162" t="str">
        <f>IF(OR(A162="",A162=9999),"",INDEX('Player Board'!$B$4:$B$163,MATCH(A162,'Player Board'!$H$4:$H$163,0)))</f>
        <v/>
      </c>
      <c r="C162" t="str">
        <f>IF(B162="","",INDEX('Player Board'!$C$4:$C$163,MATCH(B162,'Player Board'!$B$4:$B$163,0)))</f>
        <v/>
      </c>
      <c r="D162" t="str">
        <f>IF(B162="","",INDEX('Player Board'!$D$4:$D$163,MATCH(B162,'Player Board'!$B$4:$B$163,0)))</f>
        <v/>
      </c>
      <c r="E162" t="str">
        <f>IF(B162="","",INDEX('Player Board'!$H$4:$H$163,MATCH(B162,'Player Board'!$B$4:$B$163,0)))</f>
        <v/>
      </c>
      <c r="F162" t="str">
        <f>IF(B162="","",INDEX('Player Board'!$F$4:$F$163,MATCH(B162,'Player Board'!$B$4:$B$163,0)))</f>
        <v/>
      </c>
      <c r="G162" t="str">
        <f>IF(B162="","",INDEX('Player Board'!$P$4:$P$163,MATCH(B162,'Player Board'!$B$4:$B$163,0)))</f>
        <v/>
      </c>
      <c r="H162" t="str">
        <f>IF(B162="","",INDEX('Player Board'!$M$4:$M$163,MATCH(B162,'Player Board'!$B$4:$B$163,0)))</f>
        <v/>
      </c>
      <c r="I162" t="str">
        <f>IF(B162="","",INDEX('Player Board'!$G$4:$G$163,MATCH(B162,'Player Board'!$B$4:$B$163,0)))</f>
        <v/>
      </c>
      <c r="J162" s="1" t="str">
        <f>IF(B162="","",INDEX('Player Board'!$N$4:$N$163,MATCH(B162,'Player Board'!$B$4:$B$163,0)))</f>
        <v/>
      </c>
      <c r="K162" t="str">
        <f>IF(B162="","",IFERROR(INDEX('Player Board'!$Q$4:$Q$163,MATCH(B162,'Player Board'!$B$4:$B$163,0)),""))</f>
        <v/>
      </c>
      <c r="L162" t="str">
        <f t="shared" si="4"/>
        <v/>
      </c>
    </row>
    <row r="163" spans="1:12">
      <c r="A163">
        <f>IFERROR(SMALL('Player Board'!$O$4:$O$163,159),"")</f>
        <v>9999</v>
      </c>
      <c r="B163" t="str">
        <f>IF(OR(A163="",A163=9999),"",INDEX('Player Board'!$B$4:$B$163,MATCH(A163,'Player Board'!$H$4:$H$163,0)))</f>
        <v/>
      </c>
      <c r="C163" t="str">
        <f>IF(B163="","",INDEX('Player Board'!$C$4:$C$163,MATCH(B163,'Player Board'!$B$4:$B$163,0)))</f>
        <v/>
      </c>
      <c r="D163" t="str">
        <f>IF(B163="","",INDEX('Player Board'!$D$4:$D$163,MATCH(B163,'Player Board'!$B$4:$B$163,0)))</f>
        <v/>
      </c>
      <c r="E163" t="str">
        <f>IF(B163="","",INDEX('Player Board'!$H$4:$H$163,MATCH(B163,'Player Board'!$B$4:$B$163,0)))</f>
        <v/>
      </c>
      <c r="F163" t="str">
        <f>IF(B163="","",INDEX('Player Board'!$F$4:$F$163,MATCH(B163,'Player Board'!$B$4:$B$163,0)))</f>
        <v/>
      </c>
      <c r="G163" t="str">
        <f>IF(B163="","",INDEX('Player Board'!$P$4:$P$163,MATCH(B163,'Player Board'!$B$4:$B$163,0)))</f>
        <v/>
      </c>
      <c r="H163" t="str">
        <f>IF(B163="","",INDEX('Player Board'!$M$4:$M$163,MATCH(B163,'Player Board'!$B$4:$B$163,0)))</f>
        <v/>
      </c>
      <c r="I163" t="str">
        <f>IF(B163="","",INDEX('Player Board'!$G$4:$G$163,MATCH(B163,'Player Board'!$B$4:$B$163,0)))</f>
        <v/>
      </c>
      <c r="J163" s="1" t="str">
        <f>IF(B163="","",INDEX('Player Board'!$N$4:$N$163,MATCH(B163,'Player Board'!$B$4:$B$163,0)))</f>
        <v/>
      </c>
      <c r="K163" t="str">
        <f>IF(B163="","",IFERROR(INDEX('Player Board'!$Q$4:$Q$163,MATCH(B163,'Player Board'!$B$4:$B$163,0)),""))</f>
        <v/>
      </c>
      <c r="L163" t="str">
        <f t="shared" si="4"/>
        <v/>
      </c>
    </row>
    <row r="164" spans="1:12">
      <c r="A164">
        <f>IFERROR(SMALL('Player Board'!$O$4:$O$163,160),"")</f>
        <v>9999</v>
      </c>
      <c r="B164" t="str">
        <f>IF(OR(A164="",A164=9999),"",INDEX('Player Board'!$B$4:$B$163,MATCH(A164,'Player Board'!$H$4:$H$163,0)))</f>
        <v/>
      </c>
      <c r="C164" t="str">
        <f>IF(B164="","",INDEX('Player Board'!$C$4:$C$163,MATCH(B164,'Player Board'!$B$4:$B$163,0)))</f>
        <v/>
      </c>
      <c r="D164" t="str">
        <f>IF(B164="","",INDEX('Player Board'!$D$4:$D$163,MATCH(B164,'Player Board'!$B$4:$B$163,0)))</f>
        <v/>
      </c>
      <c r="E164" t="str">
        <f>IF(B164="","",INDEX('Player Board'!$H$4:$H$163,MATCH(B164,'Player Board'!$B$4:$B$163,0)))</f>
        <v/>
      </c>
      <c r="F164" t="str">
        <f>IF(B164="","",INDEX('Player Board'!$F$4:$F$163,MATCH(B164,'Player Board'!$B$4:$B$163,0)))</f>
        <v/>
      </c>
      <c r="G164" t="str">
        <f>IF(B164="","",INDEX('Player Board'!$P$4:$P$163,MATCH(B164,'Player Board'!$B$4:$B$163,0)))</f>
        <v/>
      </c>
      <c r="H164" t="str">
        <f>IF(B164="","",INDEX('Player Board'!$M$4:$M$163,MATCH(B164,'Player Board'!$B$4:$B$163,0)))</f>
        <v/>
      </c>
      <c r="I164" t="str">
        <f>IF(B164="","",INDEX('Player Board'!$G$4:$G$163,MATCH(B164,'Player Board'!$B$4:$B$163,0)))</f>
        <v/>
      </c>
      <c r="J164" s="1" t="str">
        <f>IF(B164="","",INDEX('Player Board'!$N$4:$N$163,MATCH(B164,'Player Board'!$B$4:$B$163,0)))</f>
        <v/>
      </c>
      <c r="K164" t="str">
        <f>IF(B164="","",IFERROR(INDEX('Player Board'!$Q$4:$Q$163,MATCH(B164,'Player Board'!$B$4:$B$163,0)),""))</f>
        <v/>
      </c>
      <c r="L164" t="str">
        <f t="shared" si="4"/>
        <v/>
      </c>
    </row>
  </sheetData>
  <mergeCells count="2">
    <mergeCell ref="A1:J1"/>
    <mergeCell ref="A2:J2"/>
  </mergeCells>
  <conditionalFormatting sqref="A4:L164">
    <cfRule type="expression" dxfId="210" priority="13">
      <formula>$C4="QB"</formula>
    </cfRule>
    <cfRule type="expression" dxfId="209" priority="14">
      <formula>$C4="RB"</formula>
    </cfRule>
    <cfRule type="expression" dxfId="208" priority="15">
      <formula>$C4="WR"</formula>
    </cfRule>
    <cfRule type="expression" dxfId="207" priority="16">
      <formula>$C4="TE"</formula>
    </cfRule>
    <cfRule type="expression" dxfId="206" priority="17">
      <formula>$C4="K"</formula>
    </cfRule>
    <cfRule type="expression" dxfId="205" priority="18">
      <formula>$C4="DST"</formula>
    </cfRule>
  </conditionalFormatting>
  <conditionalFormatting sqref="C4:C164">
    <cfRule type="expression" dxfId="204" priority="7">
      <formula>C4="QB"</formula>
    </cfRule>
    <cfRule type="expression" dxfId="203" priority="8">
      <formula>C4="RB"</formula>
    </cfRule>
    <cfRule type="expression" dxfId="202" priority="9">
      <formula>C4="WR"</formula>
    </cfRule>
    <cfRule type="expression" dxfId="201" priority="10">
      <formula>C4="TE"</formula>
    </cfRule>
    <cfRule type="expression" dxfId="200" priority="11">
      <formula>C4="K"</formula>
    </cfRule>
    <cfRule type="expression" dxfId="199" priority="12">
      <formula>C4="DST"</formula>
    </cfRule>
  </conditionalFormatting>
  <conditionalFormatting sqref="G5:G164">
    <cfRule type="expression" dxfId="198" priority="4">
      <formula>G5="Yes"</formula>
    </cfRule>
    <cfRule type="expression" dxfId="197" priority="5">
      <formula>G5="No"</formula>
    </cfRule>
  </conditionalFormatting>
  <conditionalFormatting sqref="H5:H164">
    <cfRule type="expression" dxfId="196" priority="2">
      <formula>H5="Priority"</formula>
    </cfRule>
    <cfRule type="expression" dxfId="195" priority="3">
      <formula>H5="Strong"</formula>
    </cfRule>
  </conditionalFormatting>
  <conditionalFormatting sqref="L5:L164">
    <cfRule type="colorScale" priority="6">
      <colorScale>
        <cfvo type="min"/>
        <cfvo type="percentile" val="50"/>
        <cfvo type="max"/>
        <color rgb="FFF4CCCC"/>
        <color rgb="FFFFF2CC"/>
        <color rgb="FFD9EAD3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7"/>
  <sheetViews>
    <sheetView topLeftCell="L1" workbookViewId="0">
      <selection activeCell="I18" sqref="I18"/>
    </sheetView>
  </sheetViews>
  <sheetFormatPr defaultRowHeight="13.5"/>
  <cols>
    <col min="1" max="1" width="13" customWidth="1"/>
    <col min="2" max="2" width="18" customWidth="1"/>
    <col min="3" max="6" width="10" customWidth="1"/>
    <col min="7" max="7" width="17" customWidth="1"/>
    <col min="8" max="8" width="18" customWidth="1"/>
    <col min="9" max="9" width="14" customWidth="1"/>
    <col min="10" max="13" width="11" customWidth="1"/>
    <col min="14" max="14" width="14" customWidth="1"/>
    <col min="15" max="15" width="30" customWidth="1"/>
    <col min="16" max="19" width="15" customWidth="1"/>
    <col min="20" max="23" width="14" customWidth="1"/>
  </cols>
  <sheetData>
    <row r="1" spans="1:23" ht="14" customHeight="1">
      <c r="A1" s="118" t="s">
        <v>372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23" ht="13.9">
      <c r="A2" s="119" t="s">
        <v>373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4" spans="1:23" ht="27.75">
      <c r="A4" s="54" t="s">
        <v>95</v>
      </c>
      <c r="B4" s="54" t="s">
        <v>374</v>
      </c>
      <c r="C4" s="54" t="s">
        <v>375</v>
      </c>
      <c r="D4" s="54" t="s">
        <v>376</v>
      </c>
      <c r="E4" s="54" t="s">
        <v>377</v>
      </c>
      <c r="F4" s="54" t="s">
        <v>378</v>
      </c>
      <c r="G4" s="54" t="s">
        <v>379</v>
      </c>
      <c r="H4" s="54" t="s">
        <v>380</v>
      </c>
      <c r="I4" s="54" t="s">
        <v>381</v>
      </c>
      <c r="J4" s="54" t="s">
        <v>382</v>
      </c>
      <c r="K4" s="54" t="s">
        <v>383</v>
      </c>
      <c r="L4" s="54" t="s">
        <v>384</v>
      </c>
      <c r="M4" s="54" t="s">
        <v>385</v>
      </c>
      <c r="N4" s="54" t="s">
        <v>386</v>
      </c>
      <c r="O4" s="54" t="s">
        <v>133</v>
      </c>
      <c r="P4" s="57" t="s">
        <v>387</v>
      </c>
      <c r="Q4" s="57" t="s">
        <v>388</v>
      </c>
      <c r="R4" s="57" t="s">
        <v>389</v>
      </c>
      <c r="S4" s="57" t="s">
        <v>390</v>
      </c>
      <c r="T4" s="57" t="s">
        <v>391</v>
      </c>
      <c r="U4" s="57" t="s">
        <v>392</v>
      </c>
      <c r="V4" s="57" t="s">
        <v>393</v>
      </c>
      <c r="W4" s="57" t="s">
        <v>394</v>
      </c>
    </row>
    <row r="5" spans="1:23">
      <c r="A5" t="s">
        <v>1</v>
      </c>
      <c r="B5" s="55" t="s">
        <v>395</v>
      </c>
      <c r="C5" s="55">
        <v>2</v>
      </c>
      <c r="D5" s="55">
        <v>5</v>
      </c>
      <c r="E5" s="55">
        <v>5</v>
      </c>
      <c r="F5" s="55">
        <v>1</v>
      </c>
      <c r="G5" s="55">
        <v>2</v>
      </c>
      <c r="H5" s="55">
        <v>2</v>
      </c>
      <c r="I5" s="55">
        <v>3</v>
      </c>
      <c r="J5">
        <v>1</v>
      </c>
      <c r="K5">
        <f>3+COUNTIFS('Draft Tracker'!$D$4:$D$147,$A5,'Draft Tracker'!$F$4:$F$147,"RB",'Draft Tracker'!$E$4:$E$147,"&lt;&gt;")</f>
        <v>3</v>
      </c>
      <c r="L5">
        <f>4+COUNTIFS('Draft Tracker'!$D$4:$D$147,$A5,'Draft Tracker'!$F$4:$F$147,"WR",'Draft Tracker'!$E$4:$E$147,"&lt;&gt;")</f>
        <v>4</v>
      </c>
      <c r="M5">
        <f>0+COUNTIFS('Draft Tracker'!$D$4:$D$147,$A5,'Draft Tracker'!$F$4:$F$147,"TE",'Draft Tracker'!$E$4:$E$147,"&lt;&gt;")</f>
        <v>0</v>
      </c>
      <c r="N5" t="str">
        <f t="shared" ref="N5:N12" si="0">IF(MAX(T5:W5)=0,"Best Value",IF(T5=MAX(T5:W5),"QB",IF(V5=MAX(T5:W5),"WR",IF(U5=MAX(T5:W5),"RB","TE"))))</f>
        <v>QB</v>
      </c>
      <c r="P5" s="58">
        <v>9</v>
      </c>
      <c r="Q5" s="58">
        <v>4</v>
      </c>
      <c r="R5" s="58">
        <v>1</v>
      </c>
      <c r="S5" s="58">
        <v>7</v>
      </c>
      <c r="T5">
        <f>MAX(0,P5-SUMIFS('Draft Tracker'!$R$4:$R$147,'Draft Tracker'!$D$4:$D$147,$A5,'Draft Tracker'!$F$4:$F$147,"QB"))</f>
        <v>9</v>
      </c>
      <c r="U5">
        <f>MAX(0,Q5-SUMIFS('Draft Tracker'!$R$4:$R$147,'Draft Tracker'!$D$4:$D$147,$A5,'Draft Tracker'!$F$4:$F$147,"RB"))</f>
        <v>4</v>
      </c>
      <c r="V5">
        <f>MAX(0,R5-SUMIFS('Draft Tracker'!$R$4:$R$147,'Draft Tracker'!$D$4:$D$147,$A5,'Draft Tracker'!$F$4:$F$147,"WR"))</f>
        <v>1</v>
      </c>
      <c r="W5">
        <f>MAX(0,S5-SUMIFS('Draft Tracker'!$R$4:$R$147,'Draft Tracker'!$D$4:$D$147,$A5,'Draft Tracker'!$F$4:$F$147,"TE"))</f>
        <v>7</v>
      </c>
    </row>
    <row r="6" spans="1:23">
      <c r="A6" t="s">
        <v>98</v>
      </c>
      <c r="B6" s="55" t="s">
        <v>396</v>
      </c>
      <c r="C6" s="55">
        <v>2</v>
      </c>
      <c r="D6" s="55">
        <v>5</v>
      </c>
      <c r="E6" s="55">
        <v>5</v>
      </c>
      <c r="F6" s="55">
        <v>1</v>
      </c>
      <c r="G6" s="55">
        <v>2</v>
      </c>
      <c r="H6" s="55">
        <v>2</v>
      </c>
      <c r="I6" s="55">
        <v>2</v>
      </c>
      <c r="J6">
        <f>2+COUNTIFS('Draft Tracker'!$D$4:$D$147,$A6,'Draft Tracker'!$F$4:$F$147,"QB",'Draft Tracker'!$E$4:$E$147,"&lt;&gt;")</f>
        <v>2</v>
      </c>
      <c r="K6">
        <f>2+COUNTIFS('Draft Tracker'!$D$4:$D$147,$A6,'Draft Tracker'!$F$4:$F$147,"RB",'Draft Tracker'!$E$4:$E$147,"&lt;&gt;")</f>
        <v>2</v>
      </c>
      <c r="L6">
        <f>3+COUNTIFS('Draft Tracker'!$D$4:$D$147,$A6,'Draft Tracker'!$F$4:$F$147,"WR",'Draft Tracker'!$E$4:$E$147,"&lt;&gt;")</f>
        <v>3</v>
      </c>
      <c r="M6">
        <f>1+COUNTIFS('Draft Tracker'!$D$4:$D$147,$A6,'Draft Tracker'!$F$4:$F$147,"TE",'Draft Tracker'!$E$4:$E$147,"&lt;&gt;")</f>
        <v>1</v>
      </c>
      <c r="N6" t="str">
        <f t="shared" si="0"/>
        <v>RB</v>
      </c>
      <c r="P6" s="58">
        <v>2</v>
      </c>
      <c r="Q6" s="58">
        <v>9</v>
      </c>
      <c r="R6" s="58">
        <v>3</v>
      </c>
      <c r="S6" s="58">
        <v>3</v>
      </c>
      <c r="T6">
        <f>MAX(0,P6-SUMIFS('Draft Tracker'!$R$4:$R$147,'Draft Tracker'!$D$4:$D$147,$A6,'Draft Tracker'!$F$4:$F$147,"QB"))</f>
        <v>2</v>
      </c>
      <c r="U6">
        <f>MAX(0,Q6-SUMIFS('Draft Tracker'!$R$4:$R$147,'Draft Tracker'!$D$4:$D$147,$A6,'Draft Tracker'!$F$4:$F$147,"RB"))</f>
        <v>9</v>
      </c>
      <c r="V6">
        <f>MAX(0,R6-SUMIFS('Draft Tracker'!$R$4:$R$147,'Draft Tracker'!$D$4:$D$147,$A6,'Draft Tracker'!$F$4:$F$147,"WR"))</f>
        <v>3</v>
      </c>
      <c r="W6">
        <f>MAX(0,S6-SUMIFS('Draft Tracker'!$R$4:$R$147,'Draft Tracker'!$D$4:$D$147,$A6,'Draft Tracker'!$F$4:$F$147,"TE"))</f>
        <v>3</v>
      </c>
    </row>
    <row r="7" spans="1:23">
      <c r="A7" t="s">
        <v>101</v>
      </c>
      <c r="B7" s="55" t="s">
        <v>396</v>
      </c>
      <c r="C7" s="55">
        <v>2</v>
      </c>
      <c r="D7" s="55">
        <v>5</v>
      </c>
      <c r="E7" s="55">
        <v>5</v>
      </c>
      <c r="F7" s="55">
        <v>1</v>
      </c>
      <c r="G7" s="55">
        <v>2</v>
      </c>
      <c r="H7" s="55">
        <v>2</v>
      </c>
      <c r="I7" s="55">
        <v>2</v>
      </c>
      <c r="J7">
        <f>2+COUNTIFS('Draft Tracker'!$D$4:$D$147,$A7,'Draft Tracker'!$F$4:$F$147,"QB",'Draft Tracker'!$E$4:$E$147,"&lt;&gt;")</f>
        <v>2</v>
      </c>
      <c r="K7">
        <f>3+COUNTIFS('Draft Tracker'!$D$4:$D$147,$A7,'Draft Tracker'!$F$4:$F$147,"RB",'Draft Tracker'!$E$4:$E$147,"&lt;&gt;")</f>
        <v>3</v>
      </c>
      <c r="L7">
        <f>3+COUNTIFS('Draft Tracker'!$D$4:$D$147,$A7,'Draft Tracker'!$F$4:$F$147,"WR",'Draft Tracker'!$E$4:$E$147,"&lt;&gt;")</f>
        <v>3</v>
      </c>
      <c r="M7">
        <f>0+COUNTIFS('Draft Tracker'!$D$4:$D$147,$A7,'Draft Tracker'!$F$4:$F$147,"TE",'Draft Tracker'!$E$4:$E$147,"&lt;&gt;")</f>
        <v>0</v>
      </c>
      <c r="N7" t="str">
        <f t="shared" si="0"/>
        <v>RB</v>
      </c>
      <c r="P7" s="58">
        <v>2</v>
      </c>
      <c r="Q7" s="58">
        <v>8</v>
      </c>
      <c r="R7" s="58">
        <v>3</v>
      </c>
      <c r="S7" s="58">
        <v>6</v>
      </c>
      <c r="T7">
        <f>MAX(0,P7-SUMIFS('Draft Tracker'!$R$4:$R$147,'Draft Tracker'!$D$4:$D$147,$A7,'Draft Tracker'!$F$4:$F$147,"QB"))</f>
        <v>2</v>
      </c>
      <c r="U7">
        <f>MAX(0,Q7-SUMIFS('Draft Tracker'!$R$4:$R$147,'Draft Tracker'!$D$4:$D$147,$A7,'Draft Tracker'!$F$4:$F$147,"RB"))</f>
        <v>8</v>
      </c>
      <c r="V7">
        <f>MAX(0,R7-SUMIFS('Draft Tracker'!$R$4:$R$147,'Draft Tracker'!$D$4:$D$147,$A7,'Draft Tracker'!$F$4:$F$147,"WR"))</f>
        <v>3</v>
      </c>
      <c r="W7">
        <f>MAX(0,S7-SUMIFS('Draft Tracker'!$R$4:$R$147,'Draft Tracker'!$D$4:$D$147,$A7,'Draft Tracker'!$F$4:$F$147,"TE"))</f>
        <v>6</v>
      </c>
    </row>
    <row r="8" spans="1:23">
      <c r="A8" t="s">
        <v>104</v>
      </c>
      <c r="B8" s="55" t="s">
        <v>396</v>
      </c>
      <c r="C8" s="55">
        <v>2</v>
      </c>
      <c r="D8" s="55">
        <v>5</v>
      </c>
      <c r="E8" s="55">
        <v>5</v>
      </c>
      <c r="F8" s="55">
        <v>1</v>
      </c>
      <c r="G8" s="55">
        <v>3</v>
      </c>
      <c r="H8" s="55">
        <v>2</v>
      </c>
      <c r="I8" s="55">
        <v>2</v>
      </c>
      <c r="J8">
        <f>2+COUNTIFS('Draft Tracker'!$D$4:$D$147,$A8,'Draft Tracker'!$F$4:$F$147,"QB",'Draft Tracker'!$E$4:$E$147,"&lt;&gt;")</f>
        <v>2</v>
      </c>
      <c r="K8">
        <f>2+COUNTIFS('Draft Tracker'!$D$4:$D$147,$A8,'Draft Tracker'!$F$4:$F$147,"RB",'Draft Tracker'!$E$4:$E$147,"&lt;&gt;")</f>
        <v>2</v>
      </c>
      <c r="L8">
        <f>3+COUNTIFS('Draft Tracker'!$D$4:$D$147,$A8,'Draft Tracker'!$F$4:$F$147,"WR",'Draft Tracker'!$E$4:$E$147,"&lt;&gt;")</f>
        <v>3</v>
      </c>
      <c r="M8">
        <f>1+COUNTIFS('Draft Tracker'!$D$4:$D$147,$A8,'Draft Tracker'!$F$4:$F$147,"TE",'Draft Tracker'!$E$4:$E$147,"&lt;&gt;")</f>
        <v>1</v>
      </c>
      <c r="N8" t="str">
        <f t="shared" si="0"/>
        <v>RB</v>
      </c>
      <c r="P8" s="58">
        <v>2</v>
      </c>
      <c r="Q8" s="58">
        <v>8</v>
      </c>
      <c r="R8" s="58">
        <v>6</v>
      </c>
      <c r="S8" s="58">
        <v>2</v>
      </c>
      <c r="T8">
        <f>MAX(0,P8-SUMIFS('Draft Tracker'!$R$4:$R$147,'Draft Tracker'!$D$4:$D$147,$A8,'Draft Tracker'!$F$4:$F$147,"QB"))</f>
        <v>2</v>
      </c>
      <c r="U8">
        <f>MAX(0,Q8-SUMIFS('Draft Tracker'!$R$4:$R$147,'Draft Tracker'!$D$4:$D$147,$A8,'Draft Tracker'!$F$4:$F$147,"RB"))</f>
        <v>8</v>
      </c>
      <c r="V8">
        <f>MAX(0,R8-SUMIFS('Draft Tracker'!$R$4:$R$147,'Draft Tracker'!$D$4:$D$147,$A8,'Draft Tracker'!$F$4:$F$147,"WR"))</f>
        <v>6</v>
      </c>
      <c r="W8">
        <f>MAX(0,S8-SUMIFS('Draft Tracker'!$R$4:$R$147,'Draft Tracker'!$D$4:$D$147,$A8,'Draft Tracker'!$F$4:$F$147,"TE"))</f>
        <v>2</v>
      </c>
    </row>
    <row r="9" spans="1:23">
      <c r="A9" t="s">
        <v>107</v>
      </c>
      <c r="B9" s="55" t="s">
        <v>395</v>
      </c>
      <c r="C9" s="55">
        <v>2</v>
      </c>
      <c r="D9" s="55">
        <v>5</v>
      </c>
      <c r="E9" s="55">
        <v>5</v>
      </c>
      <c r="F9" s="55">
        <v>1</v>
      </c>
      <c r="G9" s="55">
        <v>2</v>
      </c>
      <c r="H9" s="55">
        <v>3</v>
      </c>
      <c r="I9" s="55">
        <v>2</v>
      </c>
      <c r="J9">
        <f>2+COUNTIFS('Draft Tracker'!$D$4:$D$147,$A9,'Draft Tracker'!$F$4:$F$147,"QB",'Draft Tracker'!$E$4:$E$147,"&lt;&gt;")</f>
        <v>2</v>
      </c>
      <c r="K9">
        <f>1+COUNTIFS('Draft Tracker'!$D$4:$D$147,$A9,'Draft Tracker'!$F$4:$F$147,"RB",'Draft Tracker'!$E$4:$E$147,"&lt;&gt;")</f>
        <v>1</v>
      </c>
      <c r="L9">
        <f>5+COUNTIFS('Draft Tracker'!$D$4:$D$147,$A9,'Draft Tracker'!$F$4:$F$147,"WR",'Draft Tracker'!$E$4:$E$147,"&lt;&gt;")</f>
        <v>5</v>
      </c>
      <c r="M9">
        <f>0+COUNTIFS('Draft Tracker'!$D$4:$D$147,$A9,'Draft Tracker'!$F$4:$F$147,"TE",'Draft Tracker'!$E$4:$E$147,"&lt;&gt;")</f>
        <v>0</v>
      </c>
      <c r="N9" t="str">
        <f t="shared" si="0"/>
        <v>RB</v>
      </c>
      <c r="P9" s="58">
        <v>2</v>
      </c>
      <c r="Q9" s="58">
        <v>10</v>
      </c>
      <c r="R9" s="58">
        <v>2</v>
      </c>
      <c r="S9" s="58">
        <v>7</v>
      </c>
      <c r="T9">
        <f>MAX(0,P9-SUMIFS('Draft Tracker'!$R$4:$R$147,'Draft Tracker'!$D$4:$D$147,$A9,'Draft Tracker'!$F$4:$F$147,"QB"))</f>
        <v>2</v>
      </c>
      <c r="U9">
        <f>MAX(0,Q9-SUMIFS('Draft Tracker'!$R$4:$R$147,'Draft Tracker'!$D$4:$D$147,$A9,'Draft Tracker'!$F$4:$F$147,"RB"))</f>
        <v>10</v>
      </c>
      <c r="V9">
        <f>MAX(0,R9-SUMIFS('Draft Tracker'!$R$4:$R$147,'Draft Tracker'!$D$4:$D$147,$A9,'Draft Tracker'!$F$4:$F$147,"WR"))</f>
        <v>2</v>
      </c>
      <c r="W9">
        <f>MAX(0,S9-SUMIFS('Draft Tracker'!$R$4:$R$147,'Draft Tracker'!$D$4:$D$147,$A9,'Draft Tracker'!$F$4:$F$147,"TE"))</f>
        <v>7</v>
      </c>
    </row>
    <row r="10" spans="1:23">
      <c r="A10" t="s">
        <v>110</v>
      </c>
      <c r="B10" s="55" t="s">
        <v>395</v>
      </c>
      <c r="C10" s="55">
        <v>2</v>
      </c>
      <c r="D10" s="55">
        <v>5</v>
      </c>
      <c r="E10" s="55">
        <v>5</v>
      </c>
      <c r="F10" s="55">
        <v>1</v>
      </c>
      <c r="G10" s="55">
        <v>2</v>
      </c>
      <c r="H10" s="55">
        <v>3</v>
      </c>
      <c r="I10" s="55">
        <v>3</v>
      </c>
      <c r="J10">
        <f>1+COUNTIFS('Draft Tracker'!$D$4:$D$147,$A10,'Draft Tracker'!$F$4:$F$147,"QB",'Draft Tracker'!$E$4:$E$147,"&lt;&gt;")</f>
        <v>1</v>
      </c>
      <c r="K10">
        <f>4+COUNTIFS('Draft Tracker'!$D$4:$D$147,$A10,'Draft Tracker'!$F$4:$F$147,"RB",'Draft Tracker'!$E$4:$E$147,"&lt;&gt;")</f>
        <v>4</v>
      </c>
      <c r="L10">
        <f>2+COUNTIFS('Draft Tracker'!$D$4:$D$147,$A10,'Draft Tracker'!$F$4:$F$147,"WR",'Draft Tracker'!$E$4:$E$147,"&lt;&gt;")</f>
        <v>2</v>
      </c>
      <c r="M10">
        <f>1+COUNTIFS('Draft Tracker'!$D$4:$D$147,$A10,'Draft Tracker'!$F$4:$F$147,"TE",'Draft Tracker'!$E$4:$E$147,"&lt;&gt;")</f>
        <v>1</v>
      </c>
      <c r="N10" t="str">
        <f t="shared" si="0"/>
        <v>QB</v>
      </c>
      <c r="P10" s="58">
        <v>10</v>
      </c>
      <c r="Q10" s="58">
        <v>1</v>
      </c>
      <c r="R10" s="58">
        <v>7</v>
      </c>
      <c r="S10" s="58">
        <v>1</v>
      </c>
      <c r="T10">
        <f>MAX(0,P10-SUMIFS('Draft Tracker'!$R$4:$R$147,'Draft Tracker'!$D$4:$D$147,$A10,'Draft Tracker'!$F$4:$F$147,"QB"))</f>
        <v>10</v>
      </c>
      <c r="U10">
        <f>MAX(0,Q10-SUMIFS('Draft Tracker'!$R$4:$R$147,'Draft Tracker'!$D$4:$D$147,$A10,'Draft Tracker'!$F$4:$F$147,"RB"))</f>
        <v>1</v>
      </c>
      <c r="V10">
        <f>MAX(0,R10-SUMIFS('Draft Tracker'!$R$4:$R$147,'Draft Tracker'!$D$4:$D$147,$A10,'Draft Tracker'!$F$4:$F$147,"WR"))</f>
        <v>7</v>
      </c>
      <c r="W10">
        <f>MAX(0,S10-SUMIFS('Draft Tracker'!$R$4:$R$147,'Draft Tracker'!$D$4:$D$147,$A10,'Draft Tracker'!$F$4:$F$147,"TE"))</f>
        <v>1</v>
      </c>
    </row>
    <row r="11" spans="1:23">
      <c r="A11" t="s">
        <v>3</v>
      </c>
      <c r="B11" s="55" t="s">
        <v>395</v>
      </c>
      <c r="C11" s="55">
        <v>2</v>
      </c>
      <c r="D11" s="55">
        <v>5</v>
      </c>
      <c r="E11" s="55">
        <v>5</v>
      </c>
      <c r="F11" s="55">
        <v>1</v>
      </c>
      <c r="G11" s="55">
        <v>1</v>
      </c>
      <c r="H11" s="55">
        <v>5</v>
      </c>
      <c r="I11" s="55">
        <v>2</v>
      </c>
      <c r="J11">
        <f>2+COUNTIFS('Draft Tracker'!$D$4:$D$147,$A11,'Draft Tracker'!$F$4:$F$147,"QB",'Draft Tracker'!$E$4:$E$147,"&lt;&gt;")</f>
        <v>2</v>
      </c>
      <c r="K11">
        <f>3+COUNTIFS('Draft Tracker'!$D$4:$D$147,$A11,'Draft Tracker'!$F$4:$F$147,"RB",'Draft Tracker'!$E$4:$E$147,"&lt;&gt;")</f>
        <v>3</v>
      </c>
      <c r="L11">
        <f>3+COUNTIFS('Draft Tracker'!$D$4:$D$147,$A11,'Draft Tracker'!$F$4:$F$147,"WR",'Draft Tracker'!$E$4:$E$147,"&lt;&gt;")</f>
        <v>3</v>
      </c>
      <c r="M11">
        <f>0+COUNTIFS('Draft Tracker'!$D$4:$D$147,$A11,'Draft Tracker'!$F$4:$F$147,"TE",'Draft Tracker'!$E$4:$E$147,"&lt;&gt;")</f>
        <v>0</v>
      </c>
      <c r="N11" t="str">
        <f t="shared" si="0"/>
        <v>WR</v>
      </c>
      <c r="P11" s="58">
        <v>3</v>
      </c>
      <c r="Q11" s="58">
        <v>6</v>
      </c>
      <c r="R11" s="58">
        <v>10</v>
      </c>
      <c r="S11" s="58">
        <v>7</v>
      </c>
      <c r="T11">
        <f>MAX(0,P11-SUMIFS('Draft Tracker'!$R$4:$R$147,'Draft Tracker'!$D$4:$D$147,$A11,'Draft Tracker'!$F$4:$F$147,"QB"))</f>
        <v>3</v>
      </c>
      <c r="U11">
        <f>MAX(0,Q11-SUMIFS('Draft Tracker'!$R$4:$R$147,'Draft Tracker'!$D$4:$D$147,$A11,'Draft Tracker'!$F$4:$F$147,"RB"))</f>
        <v>6</v>
      </c>
      <c r="V11">
        <f>MAX(0,R11-SUMIFS('Draft Tracker'!$R$4:$R$147,'Draft Tracker'!$D$4:$D$147,$A11,'Draft Tracker'!$F$4:$F$147,"WR"))</f>
        <v>10</v>
      </c>
      <c r="W11">
        <f>MAX(0,S11-SUMIFS('Draft Tracker'!$R$4:$R$147,'Draft Tracker'!$D$4:$D$147,$A11,'Draft Tracker'!$F$4:$F$147,"TE"))</f>
        <v>7</v>
      </c>
    </row>
    <row r="12" spans="1:23">
      <c r="A12" t="s">
        <v>2</v>
      </c>
      <c r="B12" s="55" t="s">
        <v>395</v>
      </c>
      <c r="C12" s="55">
        <v>2</v>
      </c>
      <c r="D12" s="55">
        <v>5</v>
      </c>
      <c r="E12" s="55">
        <v>5</v>
      </c>
      <c r="F12" s="55">
        <v>1</v>
      </c>
      <c r="G12" s="55">
        <v>1</v>
      </c>
      <c r="H12" s="55">
        <v>3</v>
      </c>
      <c r="I12" s="55">
        <v>2</v>
      </c>
      <c r="J12">
        <f>3+COUNTIFS('Draft Tracker'!$D$4:$D$147,$A12,'Draft Tracker'!$F$4:$F$147,"QB",'Draft Tracker'!$E$4:$E$147,"&lt;&gt;")</f>
        <v>3</v>
      </c>
      <c r="K12">
        <f>2+COUNTIFS('Draft Tracker'!$D$4:$D$147,$A12,'Draft Tracker'!$F$4:$F$147,"RB",'Draft Tracker'!$E$4:$E$147,"&lt;&gt;")</f>
        <v>2</v>
      </c>
      <c r="L12">
        <f>2+COUNTIFS('Draft Tracker'!$D$4:$D$147,$A12,'Draft Tracker'!$F$4:$F$147,"WR",'Draft Tracker'!$E$4:$E$147,"&lt;&gt;")</f>
        <v>2</v>
      </c>
      <c r="M12">
        <f>1+COUNTIFS('Draft Tracker'!$D$4:$D$147,$A12,'Draft Tracker'!$F$4:$F$147,"TE",'Draft Tracker'!$E$4:$E$147,"&lt;&gt;")</f>
        <v>1</v>
      </c>
      <c r="N12" t="str">
        <f t="shared" si="0"/>
        <v>WR</v>
      </c>
      <c r="P12" s="58">
        <v>1</v>
      </c>
      <c r="Q12" s="58">
        <v>5</v>
      </c>
      <c r="R12" s="58">
        <v>10</v>
      </c>
      <c r="S12" s="58">
        <v>1</v>
      </c>
      <c r="T12">
        <f>MAX(0,P12-SUMIFS('Draft Tracker'!$R$4:$R$147,'Draft Tracker'!$D$4:$D$147,$A12,'Draft Tracker'!$F$4:$F$147,"QB"))</f>
        <v>1</v>
      </c>
      <c r="U12">
        <f>MAX(0,Q12-SUMIFS('Draft Tracker'!$R$4:$R$147,'Draft Tracker'!$D$4:$D$147,$A12,'Draft Tracker'!$F$4:$F$147,"RB"))</f>
        <v>5</v>
      </c>
      <c r="V12">
        <f>MAX(0,R12-SUMIFS('Draft Tracker'!$R$4:$R$147,'Draft Tracker'!$D$4:$D$147,$A12,'Draft Tracker'!$F$4:$F$147,"WR"))</f>
        <v>10</v>
      </c>
      <c r="W12">
        <f>MAX(0,S12-SUMIFS('Draft Tracker'!$R$4:$R$147,'Draft Tracker'!$D$4:$D$147,$A12,'Draft Tracker'!$F$4:$F$147,"TE"))</f>
        <v>1</v>
      </c>
    </row>
    <row r="13" spans="1:23" ht="17" customHeight="1">
      <c r="A13" s="121" t="s">
        <v>397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ht="12" customHeight="1">
      <c r="A14" s="120" t="s">
        <v>398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1:23">
      <c r="A15" t="s">
        <v>399</v>
      </c>
      <c r="K15" t="s">
        <v>400</v>
      </c>
    </row>
    <row r="16" spans="1:23">
      <c r="K16" t="s">
        <v>1</v>
      </c>
      <c r="L16" t="s">
        <v>401</v>
      </c>
    </row>
    <row r="17" spans="1:12">
      <c r="A17" t="s">
        <v>95</v>
      </c>
      <c r="B17" t="s">
        <v>402</v>
      </c>
      <c r="C17" t="s">
        <v>403</v>
      </c>
      <c r="D17" t="s">
        <v>404</v>
      </c>
      <c r="E17" t="s">
        <v>405</v>
      </c>
      <c r="F17" t="s">
        <v>406</v>
      </c>
      <c r="G17" t="s">
        <v>407</v>
      </c>
      <c r="H17" t="s">
        <v>408</v>
      </c>
      <c r="I17" t="s">
        <v>409</v>
      </c>
      <c r="K17" t="s">
        <v>98</v>
      </c>
      <c r="L17" t="s">
        <v>401</v>
      </c>
    </row>
    <row r="18" spans="1:12">
      <c r="A18" t="s">
        <v>98</v>
      </c>
      <c r="B18" t="s">
        <v>238</v>
      </c>
      <c r="C18" t="s">
        <v>232</v>
      </c>
      <c r="D18" t="s">
        <v>187</v>
      </c>
      <c r="E18" t="s">
        <v>218</v>
      </c>
      <c r="F18" t="s">
        <v>167</v>
      </c>
      <c r="G18" t="s">
        <v>229</v>
      </c>
      <c r="H18" t="s">
        <v>153</v>
      </c>
      <c r="I18" t="s">
        <v>198</v>
      </c>
      <c r="K18" t="s">
        <v>101</v>
      </c>
      <c r="L18" t="s">
        <v>401</v>
      </c>
    </row>
    <row r="19" spans="1:12">
      <c r="A19" t="s">
        <v>101</v>
      </c>
      <c r="B19" t="s">
        <v>166</v>
      </c>
      <c r="C19" t="s">
        <v>249</v>
      </c>
      <c r="D19" t="s">
        <v>202</v>
      </c>
      <c r="E19" t="s">
        <v>200</v>
      </c>
      <c r="F19" t="s">
        <v>199</v>
      </c>
      <c r="G19" t="s">
        <v>180</v>
      </c>
      <c r="H19" t="s">
        <v>201</v>
      </c>
      <c r="I19" t="s">
        <v>219</v>
      </c>
      <c r="K19" t="s">
        <v>104</v>
      </c>
      <c r="L19" t="s">
        <v>401</v>
      </c>
    </row>
    <row r="20" spans="1:12">
      <c r="A20" t="s">
        <v>104</v>
      </c>
      <c r="B20" t="s">
        <v>228</v>
      </c>
      <c r="C20" t="s">
        <v>162</v>
      </c>
      <c r="D20" t="s">
        <v>271</v>
      </c>
      <c r="E20" t="s">
        <v>195</v>
      </c>
      <c r="F20" t="s">
        <v>169</v>
      </c>
      <c r="G20" t="s">
        <v>191</v>
      </c>
      <c r="H20" t="s">
        <v>190</v>
      </c>
      <c r="I20" t="s">
        <v>213</v>
      </c>
      <c r="K20" t="s">
        <v>107</v>
      </c>
      <c r="L20" t="s">
        <v>401</v>
      </c>
    </row>
    <row r="21" spans="1:12">
      <c r="A21" t="s">
        <v>1</v>
      </c>
      <c r="B21" t="s">
        <v>175</v>
      </c>
      <c r="C21" t="s">
        <v>155</v>
      </c>
      <c r="D21" t="s">
        <v>208</v>
      </c>
      <c r="E21" t="s">
        <v>157</v>
      </c>
      <c r="F21" t="s">
        <v>185</v>
      </c>
      <c r="G21" t="s">
        <v>203</v>
      </c>
      <c r="H21" t="s">
        <v>165</v>
      </c>
      <c r="I21" t="s">
        <v>164</v>
      </c>
      <c r="K21" t="s">
        <v>110</v>
      </c>
      <c r="L21" t="s">
        <v>401</v>
      </c>
    </row>
    <row r="22" spans="1:12">
      <c r="A22" t="s">
        <v>107</v>
      </c>
      <c r="B22" t="s">
        <v>158</v>
      </c>
      <c r="C22" t="s">
        <v>177</v>
      </c>
      <c r="D22" t="s">
        <v>189</v>
      </c>
      <c r="E22" t="s">
        <v>292</v>
      </c>
      <c r="F22" t="s">
        <v>183</v>
      </c>
      <c r="G22" t="s">
        <v>178</v>
      </c>
      <c r="H22" t="s">
        <v>193</v>
      </c>
      <c r="I22" t="s">
        <v>144</v>
      </c>
      <c r="K22" t="s">
        <v>3</v>
      </c>
      <c r="L22" t="s">
        <v>401</v>
      </c>
    </row>
    <row r="23" spans="1:12">
      <c r="A23" t="s">
        <v>110</v>
      </c>
      <c r="B23" t="s">
        <v>161</v>
      </c>
      <c r="C23" t="s">
        <v>186</v>
      </c>
      <c r="D23" t="s">
        <v>207</v>
      </c>
      <c r="E23" t="s">
        <v>214</v>
      </c>
      <c r="F23" t="s">
        <v>192</v>
      </c>
      <c r="G23" t="s">
        <v>181</v>
      </c>
      <c r="H23" t="s">
        <v>205</v>
      </c>
      <c r="I23" t="s">
        <v>160</v>
      </c>
      <c r="K23" t="s">
        <v>2</v>
      </c>
      <c r="L23" t="s">
        <v>401</v>
      </c>
    </row>
    <row r="24" spans="1:12">
      <c r="A24" t="s">
        <v>3</v>
      </c>
      <c r="B24" t="s">
        <v>4</v>
      </c>
      <c r="C24" t="s">
        <v>5</v>
      </c>
      <c r="D24" t="s">
        <v>6</v>
      </c>
      <c r="E24" t="s">
        <v>7</v>
      </c>
      <c r="F24" t="s">
        <v>8</v>
      </c>
      <c r="G24" t="s">
        <v>9</v>
      </c>
      <c r="H24" t="s">
        <v>329</v>
      </c>
      <c r="I24" t="s">
        <v>332</v>
      </c>
    </row>
    <row r="25" spans="1:12">
      <c r="A25" t="s">
        <v>2</v>
      </c>
      <c r="B25" t="s">
        <v>10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  <c r="K25" t="s">
        <v>410</v>
      </c>
      <c r="L25" t="s">
        <v>102</v>
      </c>
    </row>
    <row r="26" spans="1:12">
      <c r="K26" t="s">
        <v>411</v>
      </c>
      <c r="L26" t="s">
        <v>412</v>
      </c>
    </row>
    <row r="27" spans="1:12">
      <c r="K27" t="s">
        <v>413</v>
      </c>
      <c r="L27" t="s">
        <v>96</v>
      </c>
    </row>
  </sheetData>
  <mergeCells count="4">
    <mergeCell ref="A1:O1"/>
    <mergeCell ref="A2:O2"/>
    <mergeCell ref="A14:L14"/>
    <mergeCell ref="A13:W13"/>
  </mergeCells>
  <conditionalFormatting sqref="A5:A12">
    <cfRule type="expression" dxfId="194" priority="1">
      <formula>A5="Noah"</formula>
    </cfRule>
    <cfRule type="expression" dxfId="193" priority="2">
      <formula>A5="Colby"</formula>
    </cfRule>
    <cfRule type="expression" dxfId="192" priority="3">
      <formula>A5="Adam"</formula>
    </cfRule>
    <cfRule type="expression" dxfId="191" priority="4">
      <formula>A5="Jacob"</formula>
    </cfRule>
    <cfRule type="expression" dxfId="190" priority="5">
      <formula>A5="Medhansh"</formula>
    </cfRule>
    <cfRule type="expression" dxfId="189" priority="6">
      <formula>A5="Luke"</formula>
    </cfRule>
    <cfRule type="expression" dxfId="188" priority="7">
      <formula>A5="Spohn"</formula>
    </cfRule>
    <cfRule type="expression" dxfId="187" priority="8">
      <formula>A5="Nolen"</formula>
    </cfRule>
  </conditionalFormatting>
  <conditionalFormatting sqref="A18:A25">
    <cfRule type="expression" dxfId="186" priority="9">
      <formula>A18="Noah"</formula>
    </cfRule>
    <cfRule type="expression" dxfId="185" priority="10">
      <formula>A18="Colby"</formula>
    </cfRule>
    <cfRule type="expression" dxfId="184" priority="11">
      <formula>A18="Adam"</formula>
    </cfRule>
    <cfRule type="expression" dxfId="183" priority="12">
      <formula>A18="Jacob"</formula>
    </cfRule>
    <cfRule type="expression" dxfId="182" priority="13">
      <formula>A18="Medhansh"</formula>
    </cfRule>
    <cfRule type="expression" dxfId="181" priority="14">
      <formula>A18="Luke"</formula>
    </cfRule>
    <cfRule type="expression" dxfId="180" priority="15">
      <formula>A18="Spohn"</formula>
    </cfRule>
    <cfRule type="expression" dxfId="179" priority="16">
      <formula>A18="Nolen"</formula>
    </cfRule>
  </conditionalFormatting>
  <conditionalFormatting sqref="B18:I25">
    <cfRule type="expression" dxfId="172" priority="31">
      <formula>OR(B18="Ashton Jeanty",B18="Omarion Hampton")</formula>
    </cfRule>
  </conditionalFormatting>
  <conditionalFormatting sqref="K16:K24">
    <cfRule type="expression" dxfId="171" priority="17">
      <formula>K16="Noah"</formula>
    </cfRule>
    <cfRule type="expression" dxfId="170" priority="18">
      <formula>K16="Colby"</formula>
    </cfRule>
    <cfRule type="expression" dxfId="169" priority="19">
      <formula>K16="Adam"</formula>
    </cfRule>
    <cfRule type="expression" dxfId="168" priority="20">
      <formula>K16="Jacob"</formula>
    </cfRule>
    <cfRule type="expression" dxfId="167" priority="21">
      <formula>K16="Medhansh"</formula>
    </cfRule>
    <cfRule type="expression" dxfId="166" priority="22">
      <formula>K16="Luke"</formula>
    </cfRule>
    <cfRule type="expression" dxfId="165" priority="23">
      <formula>K16="Spohn"</formula>
    </cfRule>
    <cfRule type="expression" dxfId="164" priority="24">
      <formula>K16="Nolen"</formula>
    </cfRule>
  </conditionalFormatting>
  <conditionalFormatting sqref="N5:N12">
    <cfRule type="expression" dxfId="163" priority="32">
      <formula>N5="QB"</formula>
    </cfRule>
    <cfRule type="expression" dxfId="162" priority="33">
      <formula>N5="RB"</formula>
    </cfRule>
    <cfRule type="expression" dxfId="161" priority="34">
      <formula>N5="WR"</formula>
    </cfRule>
    <cfRule type="expression" dxfId="160" priority="35">
      <formula>N5="TE"</formula>
    </cfRule>
    <cfRule type="expression" dxfId="159" priority="36">
      <formula>N5="K"</formula>
    </cfRule>
    <cfRule type="expression" dxfId="158" priority="37">
      <formula>N5="DST"</formula>
    </cfRule>
  </conditionalFormatting>
  <dataValidations count="2">
    <dataValidation type="list" sqref="B5:B12" xr:uid="{00000000-0002-0000-0400-000000000000}">
      <formula1>"Contender,Balanced,Rebuilder"</formula1>
    </dataValidation>
    <dataValidation sqref="P5:S12" xr:uid="{00000000-0002-0000-0400-000001000000}">
      <formula1>0</formula1>
      <formula2>10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0000000-000E-0000-0400-000019000000}">
            <xm:f>IFERROR(INDEX('Player Board'!$C$4:$C$163,MATCH(B18,'Player Board'!$B$4:$B$163,0)),"")="QB"</xm:f>
            <x14:dxf>
              <fill>
                <patternFill>
                  <bgColor rgb="FFF4CCCC"/>
                </patternFill>
              </fill>
            </x14:dxf>
          </x14:cfRule>
          <x14:cfRule type="expression" priority="26" id="{00000000-000E-0000-0400-00001A000000}">
            <xm:f>IFERROR(INDEX('Player Board'!$C$4:$C$163,MATCH(B18,'Player Board'!$B$4:$B$163,0)),"")="RB"</xm:f>
            <x14:dxf>
              <fill>
                <patternFill>
                  <bgColor rgb="FFD9EAD3"/>
                </patternFill>
              </fill>
            </x14:dxf>
          </x14:cfRule>
          <x14:cfRule type="expression" priority="27" id="{00000000-000E-0000-0400-00001B000000}">
            <xm:f>IFERROR(INDEX('Player Board'!$C$4:$C$163,MATCH(B18,'Player Board'!$B$4:$B$163,0)),"")="WR"</xm:f>
            <x14:dxf>
              <fill>
                <patternFill>
                  <bgColor rgb="FFCFE2F3"/>
                </patternFill>
              </fill>
            </x14:dxf>
          </x14:cfRule>
          <x14:cfRule type="expression" priority="28" id="{00000000-000E-0000-0400-00001C000000}">
            <xm:f>IFERROR(INDEX('Player Board'!$C$4:$C$163,MATCH(B18,'Player Board'!$B$4:$B$163,0)),"")="TE"</xm:f>
            <x14:dxf>
              <fill>
                <patternFill>
                  <bgColor rgb="FFFFF2CC"/>
                </patternFill>
              </fill>
            </x14:dxf>
          </x14:cfRule>
          <x14:cfRule type="expression" priority="29" id="{00000000-000E-0000-0400-00001D000000}">
            <xm:f>IFERROR(INDEX('Player Board'!$C$4:$C$163,MATCH(B18,'Player Board'!$B$4:$B$163,0)),"")="K"</xm:f>
            <x14:dxf>
              <fill>
                <patternFill>
                  <bgColor rgb="FFD9D9D9"/>
                </patternFill>
              </fill>
            </x14:dxf>
          </x14:cfRule>
          <x14:cfRule type="expression" priority="30" id="{00000000-000E-0000-0400-00001E000000}">
            <xm:f>IFERROR(INDEX('Player Board'!$C$4:$C$163,MATCH(B18,'Player Board'!$B$4:$B$163,0)),"")="DST"</xm:f>
            <x14:dxf>
              <fill>
                <patternFill>
                  <bgColor rgb="FFD9D2E9"/>
                </patternFill>
              </fill>
            </x14:dxf>
          </x14:cfRule>
          <xm:sqref>B18:I25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64"/>
  <sheetViews>
    <sheetView workbookViewId="0">
      <selection activeCell="B18" sqref="B18"/>
    </sheetView>
  </sheetViews>
  <sheetFormatPr defaultRowHeight="13.5"/>
  <cols>
    <col min="1" max="1" width="14" customWidth="1"/>
    <col min="2" max="2" width="24" customWidth="1"/>
    <col min="3" max="3" width="8" customWidth="1"/>
    <col min="4" max="4" width="12" customWidth="1"/>
    <col min="5" max="5" width="14" customWidth="1"/>
    <col min="6" max="9" width="10" customWidth="1"/>
    <col min="10" max="10" width="13" customWidth="1"/>
    <col min="12" max="18" width="3" customWidth="1"/>
    <col min="19" max="19" width="12" customWidth="1"/>
    <col min="20" max="21" width="14" customWidth="1"/>
    <col min="22" max="22" width="11" customWidth="1"/>
    <col min="23" max="23" width="14" customWidth="1"/>
    <col min="24" max="24" width="16" customWidth="1"/>
    <col min="25" max="25" width="12" customWidth="1"/>
    <col min="26" max="26" width="17" customWidth="1"/>
    <col min="27" max="27" width="16" customWidth="1"/>
    <col min="28" max="28" width="13" customWidth="1"/>
    <col min="29" max="29" width="15" customWidth="1"/>
    <col min="30" max="30" width="19" customWidth="1"/>
  </cols>
  <sheetData>
    <row r="1" spans="1:30" ht="20.65">
      <c r="A1" s="118" t="s">
        <v>414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30" ht="13.9">
      <c r="A2" s="119" t="s">
        <v>415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4" spans="1:30" ht="27.75">
      <c r="A4" s="56" t="s">
        <v>416</v>
      </c>
      <c r="B4">
        <f>COUNTIF('Draft Tracker'!$E$4:$E$147,"&lt;&gt;")+1</f>
        <v>1</v>
      </c>
      <c r="L4" t="s">
        <v>121</v>
      </c>
      <c r="M4" t="s">
        <v>122</v>
      </c>
      <c r="N4" t="s">
        <v>417</v>
      </c>
      <c r="O4" t="s">
        <v>418</v>
      </c>
      <c r="P4" t="s">
        <v>419</v>
      </c>
      <c r="Q4" t="s">
        <v>420</v>
      </c>
      <c r="R4" t="s">
        <v>421</v>
      </c>
      <c r="S4" s="95" t="s">
        <v>422</v>
      </c>
      <c r="T4" s="95" t="s">
        <v>423</v>
      </c>
      <c r="U4" s="95" t="s">
        <v>424</v>
      </c>
      <c r="V4" s="95" t="s">
        <v>425</v>
      </c>
      <c r="W4" s="95" t="s">
        <v>426</v>
      </c>
      <c r="X4" s="98" t="s">
        <v>427</v>
      </c>
      <c r="Y4" s="98" t="s">
        <v>428</v>
      </c>
      <c r="Z4" s="100" t="s">
        <v>429</v>
      </c>
      <c r="AA4" s="100" t="s">
        <v>430</v>
      </c>
      <c r="AB4" s="103" t="s">
        <v>431</v>
      </c>
      <c r="AC4" s="103" t="s">
        <v>432</v>
      </c>
      <c r="AD4" s="103" t="s">
        <v>433</v>
      </c>
    </row>
    <row r="5" spans="1:30" ht="13.9">
      <c r="A5" s="56" t="s">
        <v>434</v>
      </c>
      <c r="B5" t="str">
        <f>IF(B4&gt;144,"Draft Complete",INDEX('Draft Tracker'!$D$4:$D$147,B4))</f>
        <v>Colby</v>
      </c>
      <c r="L5" t="str">
        <f>'Player Board'!B4</f>
        <v>Jahmyr Gibbs</v>
      </c>
      <c r="M5" t="str">
        <f>'Player Board'!C4</f>
        <v>RB</v>
      </c>
      <c r="N5">
        <f>'Player Board'!H4</f>
        <v>2</v>
      </c>
      <c r="O5" t="str">
        <f>'Player Board'!Q4</f>
        <v/>
      </c>
      <c r="P5">
        <f>IF(NOT(AND('Player Board'!J4="No",'Player Board'!K4="No")),-9999,(325-N5*2)+((IF(M5="QB",INDEX('Manager Profiles'!$T$5:$T$12,MATCH($B$5,'Manager Profiles'!$A$5:$A$12,0)),IF(M5="RB",INDEX('Manager Profiles'!$U$5:$U$12,MATCH($B$5,'Manager Profiles'!$A$5:$A$12,0)),IF(M5="WR",INDEX('Manager Profiles'!$V$5:$V$12,MATCH($B$5,'Manager Profiles'!$A$5:$A$12,0)),IF(M5="TE",INDEX('Manager Profiles'!$W$5:$W$12,MATCH($B$5,'Manager Profiles'!$A$5:$A$12,0)),0)))))*3)+(IF($B$6="Contender",IF('Player Board'!R4="Veteran",12,IF('Player Board'!R4="Prime",7,IF('Player Board'!R4="Young",3,-4))),IF($B$6="Rebuilder",IF('Player Board'!R4="Rookie",15,IF('Player Board'!R4="Young",10,IF('Player Board'!R4="Prime",2,-15))),IF('Player Board'!R4="Veteran",-2,IF('Player Board'!R4="Rookie",4,2)))))+MAX(-20,MIN(20,($B$4-IF(O5="",N5,O5))*2))+(IFERROR(IF(INDEX('Player Board'!$F$4:$F$163,MATCH(N5+1,'Player Board'!$H$4:$H$163,0))&gt;'Player Board'!F4,8,0),0)))</f>
        <v>-9999</v>
      </c>
      <c r="Q5">
        <f t="shared" ref="Q5:Q36" si="0">P5+(200-N5)/10000</f>
        <v>-9998.9802</v>
      </c>
      <c r="R5">
        <f>IF(AND('Draft Tracker'!D4="Noah",'Draft Tracker'!A4&gt;$B$4),'Draft Tracker'!A4,9999)</f>
        <v>9999</v>
      </c>
      <c r="S5">
        <f>IF(M5="","",IF(M5="QB",INDEX('Manager Profiles'!$T$5:$T$12,MATCH("Noah",'Manager Profiles'!$A$5:$A$12,0)),IF(M5="RB",INDEX('Manager Profiles'!$U$5:$U$12,MATCH("Noah",'Manager Profiles'!$A$5:$A$12,0)),IF(M5="WR",INDEX('Manager Profiles'!$V$5:$V$12,MATCH("Noah",'Manager Profiles'!$A$5:$A$12,0)),IF(M5="TE",INDEX('Manager Profiles'!$W$5:$W$12,MATCH("Noah",'Manager Profiles'!$A$5:$A$12,0)),0)))))</f>
        <v>4</v>
      </c>
      <c r="T5">
        <f>IF(M5="","",IF(M5="QB",INDEX('Manager Profiles'!$T$5:$T$12,MATCH($B$5,'Manager Profiles'!$A$5:$A$12,0)),IF(M5="RB",INDEX('Manager Profiles'!$U$5:$U$12,MATCH($B$5,'Manager Profiles'!$A$5:$A$12,0)),IF(M5="WR",INDEX('Manager Profiles'!$V$5:$V$12,MATCH($B$5,'Manager Profiles'!$A$5:$A$12,0)),IF(M5="TE",INDEX('Manager Profiles'!$W$5:$W$12,MATCH($B$5,'Manager Profiles'!$A$5:$A$12,0)),0)))))</f>
        <v>9</v>
      </c>
      <c r="U5">
        <f t="shared" ref="U5:U36" si="1">IF(S5="","",S5-T5)</f>
        <v>-5</v>
      </c>
      <c r="V5" t="str">
        <f t="shared" ref="V5:V36" si="2">IF(O5="","",MAX(0,$B$8-O5))</f>
        <v/>
      </c>
      <c r="W5">
        <f t="shared" ref="W5:W36" ca="1" si="3">IF(OR(L5="",P5=-9999,AD5&lt;&gt;"Yes"),-9999,ROUND(S5*6+MAX(0,U5)*7+V5*7+MIN(20,Y5)*5+MAX(0,Z5)*10+MAX(0,50-N5)/4,1))</f>
        <v>-9999</v>
      </c>
      <c r="X5">
        <f ca="1">IF(M5="","",IFERROR(_xludf.MINIFS($N$5:$N$164,$M$5:$M$164,M5,$N$5:$N$164,"&gt;"&amp;N5,$P$5:$P$164,"&gt;-9999"),N5+20))</f>
        <v>22</v>
      </c>
      <c r="Y5">
        <f t="shared" ref="Y5:Y36" ca="1" si="4">IF(X5="","",MAX(0,X5-N5))</f>
        <v>20</v>
      </c>
      <c r="Z5" t="str">
        <f t="shared" ref="Z5:Z36" si="5">IF(O5="","",$B$4-O5)</f>
        <v/>
      </c>
      <c r="AA5" t="str">
        <f t="shared" ref="AA5:AA36" si="6">IF(AND(V5&gt;0,Z5&gt;=0,S5&gt;=4,$B$5&lt;&gt;"Noah"),"Yes","No")</f>
        <v>Yes</v>
      </c>
      <c r="AB5" t="str">
        <f t="shared" ref="AB5:AB36" ca="1" si="7">IF(Y5&gt;=12,"Yes","No")</f>
        <v>Yes</v>
      </c>
      <c r="AC5" t="str">
        <f t="shared" ref="AC5:AC36" si="8">IF(Z5&gt;=3,"Yes","No")</f>
        <v>Yes</v>
      </c>
      <c r="AD5" t="str">
        <f t="shared" ref="AD5:AD36" ca="1" si="9">IF(AND(V5&gt;=3,S5&gt;=5,U5&gt;=3,Y5&gt;=12,Z5&gt;=3,$B$5&lt;&gt;"Noah"),"Yes","No")</f>
        <v>No</v>
      </c>
    </row>
    <row r="6" spans="1:30" ht="13.9">
      <c r="A6" s="56" t="s">
        <v>374</v>
      </c>
      <c r="B6" t="str">
        <f>IFERROR(INDEX('Manager Profiles'!$B$5:$B$12,MATCH(B5,'Manager Profiles'!$A$5:$A$12,0)),"")</f>
        <v>Balanced</v>
      </c>
      <c r="L6" t="str">
        <f>'Player Board'!B5</f>
        <v>Ja'Marr Chase</v>
      </c>
      <c r="M6" t="str">
        <f>'Player Board'!C5</f>
        <v>WR</v>
      </c>
      <c r="N6">
        <f>'Player Board'!H5</f>
        <v>3</v>
      </c>
      <c r="O6" t="str">
        <f>'Player Board'!Q5</f>
        <v/>
      </c>
      <c r="P6">
        <f>IF(NOT(AND('Player Board'!J5="No",'Player Board'!K5="No")),-9999,(325-N6*2)+((IF(M6="QB",INDEX('Manager Profiles'!$T$5:$T$12,MATCH($B$5,'Manager Profiles'!$A$5:$A$12,0)),IF(M6="RB",INDEX('Manager Profiles'!$U$5:$U$12,MATCH($B$5,'Manager Profiles'!$A$5:$A$12,0)),IF(M6="WR",INDEX('Manager Profiles'!$V$5:$V$12,MATCH($B$5,'Manager Profiles'!$A$5:$A$12,0)),IF(M6="TE",INDEX('Manager Profiles'!$W$5:$W$12,MATCH($B$5,'Manager Profiles'!$A$5:$A$12,0)),0)))))*3)+(IF($B$6="Contender",IF('Player Board'!R5="Veteran",12,IF('Player Board'!R5="Prime",7,IF('Player Board'!R5="Young",3,-4))),IF($B$6="Rebuilder",IF('Player Board'!R5="Rookie",15,IF('Player Board'!R5="Young",10,IF('Player Board'!R5="Prime",2,-15))),IF('Player Board'!R5="Veteran",-2,IF('Player Board'!R5="Rookie",4,2)))))+MAX(-20,MIN(20,($B$4-IF(O6="",N6,O6))*2))+(IFERROR(IF(INDEX('Player Board'!$F$4:$F$163,MATCH(N6+1,'Player Board'!$H$4:$H$163,0))&gt;'Player Board'!F5,8,0),0)))</f>
        <v>-9999</v>
      </c>
      <c r="Q6">
        <f t="shared" si="0"/>
        <v>-9998.9802999999993</v>
      </c>
      <c r="R6">
        <f>IF(AND('Draft Tracker'!D5="Noah",'Draft Tracker'!A5&gt;$B$4),'Draft Tracker'!A5,9999)</f>
        <v>9999</v>
      </c>
      <c r="S6">
        <f>IF(M6="","",IF(M6="QB",INDEX('Manager Profiles'!$T$5:$T$12,MATCH("Noah",'Manager Profiles'!$A$5:$A$12,0)),IF(M6="RB",INDEX('Manager Profiles'!$U$5:$U$12,MATCH("Noah",'Manager Profiles'!$A$5:$A$12,0)),IF(M6="WR",INDEX('Manager Profiles'!$V$5:$V$12,MATCH("Noah",'Manager Profiles'!$A$5:$A$12,0)),IF(M6="TE",INDEX('Manager Profiles'!$W$5:$W$12,MATCH("Noah",'Manager Profiles'!$A$5:$A$12,0)),0)))))</f>
        <v>1</v>
      </c>
      <c r="T6">
        <f>IF(M6="","",IF(M6="QB",INDEX('Manager Profiles'!$T$5:$T$12,MATCH($B$5,'Manager Profiles'!$A$5:$A$12,0)),IF(M6="RB",INDEX('Manager Profiles'!$U$5:$U$12,MATCH($B$5,'Manager Profiles'!$A$5:$A$12,0)),IF(M6="WR",INDEX('Manager Profiles'!$V$5:$V$12,MATCH($B$5,'Manager Profiles'!$A$5:$A$12,0)),IF(M6="TE",INDEX('Manager Profiles'!$W$5:$W$12,MATCH($B$5,'Manager Profiles'!$A$5:$A$12,0)),0)))))</f>
        <v>3</v>
      </c>
      <c r="U6">
        <f t="shared" si="1"/>
        <v>-2</v>
      </c>
      <c r="V6" t="str">
        <f t="shared" si="2"/>
        <v/>
      </c>
      <c r="W6">
        <f t="shared" ca="1" si="3"/>
        <v>-9999</v>
      </c>
      <c r="X6">
        <f ca="1">IF(M6="","",IFERROR(_xludf.MINIFS($N$5:$N$164,$M$5:$M$164,M6,$N$5:$N$164,"&gt;"&amp;N6,$P$5:$P$164,"&gt;-9999"),N6+20))</f>
        <v>23</v>
      </c>
      <c r="Y6">
        <f t="shared" ca="1" si="4"/>
        <v>20</v>
      </c>
      <c r="Z6" t="str">
        <f t="shared" si="5"/>
        <v/>
      </c>
      <c r="AA6" t="str">
        <f t="shared" si="6"/>
        <v>No</v>
      </c>
      <c r="AB6" t="str">
        <f t="shared" ca="1" si="7"/>
        <v>Yes</v>
      </c>
      <c r="AC6" t="str">
        <f t="shared" si="8"/>
        <v>Yes</v>
      </c>
      <c r="AD6" t="str">
        <f t="shared" ca="1" si="9"/>
        <v>No</v>
      </c>
    </row>
    <row r="7" spans="1:30" ht="13.9">
      <c r="A7" s="56" t="s">
        <v>386</v>
      </c>
      <c r="B7" t="str">
        <f>IFERROR(INDEX('Manager Profiles'!$N$5:$N$12,MATCH(B5,'Manager Profiles'!$A$5:$A$12,0)),"")</f>
        <v>RB</v>
      </c>
      <c r="L7" t="str">
        <f>'Player Board'!B6</f>
        <v>Bijan Robinson</v>
      </c>
      <c r="M7" t="str">
        <f>'Player Board'!C6</f>
        <v>RB</v>
      </c>
      <c r="N7">
        <f>'Player Board'!H6</f>
        <v>1</v>
      </c>
      <c r="O7" t="str">
        <f>'Player Board'!Q6</f>
        <v/>
      </c>
      <c r="P7">
        <f>IF(NOT(AND('Player Board'!J6="No",'Player Board'!K6="No")),-9999,(325-N7*2)+((IF(M7="QB",INDEX('Manager Profiles'!$T$5:$T$12,MATCH($B$5,'Manager Profiles'!$A$5:$A$12,0)),IF(M7="RB",INDEX('Manager Profiles'!$U$5:$U$12,MATCH($B$5,'Manager Profiles'!$A$5:$A$12,0)),IF(M7="WR",INDEX('Manager Profiles'!$V$5:$V$12,MATCH($B$5,'Manager Profiles'!$A$5:$A$12,0)),IF(M7="TE",INDEX('Manager Profiles'!$W$5:$W$12,MATCH($B$5,'Manager Profiles'!$A$5:$A$12,0)),0)))))*3)+(IF($B$6="Contender",IF('Player Board'!R6="Veteran",12,IF('Player Board'!R6="Prime",7,IF('Player Board'!R6="Young",3,-4))),IF($B$6="Rebuilder",IF('Player Board'!R6="Rookie",15,IF('Player Board'!R6="Young",10,IF('Player Board'!R6="Prime",2,-15))),IF('Player Board'!R6="Veteran",-2,IF('Player Board'!R6="Rookie",4,2)))))+MAX(-20,MIN(20,($B$4-IF(O7="",N7,O7))*2))+(IFERROR(IF(INDEX('Player Board'!$F$4:$F$163,MATCH(N7+1,'Player Board'!$H$4:$H$163,0))&gt;'Player Board'!F6,8,0),0)))</f>
        <v>-9999</v>
      </c>
      <c r="Q7">
        <f t="shared" si="0"/>
        <v>-9998.9801000000007</v>
      </c>
      <c r="R7">
        <f>IF(AND('Draft Tracker'!D6="Noah",'Draft Tracker'!A6&gt;$B$4),'Draft Tracker'!A6,9999)</f>
        <v>9999</v>
      </c>
      <c r="S7">
        <f>IF(M7="","",IF(M7="QB",INDEX('Manager Profiles'!$T$5:$T$12,MATCH("Noah",'Manager Profiles'!$A$5:$A$12,0)),IF(M7="RB",INDEX('Manager Profiles'!$U$5:$U$12,MATCH("Noah",'Manager Profiles'!$A$5:$A$12,0)),IF(M7="WR",INDEX('Manager Profiles'!$V$5:$V$12,MATCH("Noah",'Manager Profiles'!$A$5:$A$12,0)),IF(M7="TE",INDEX('Manager Profiles'!$W$5:$W$12,MATCH("Noah",'Manager Profiles'!$A$5:$A$12,0)),0)))))</f>
        <v>4</v>
      </c>
      <c r="T7">
        <f>IF(M7="","",IF(M7="QB",INDEX('Manager Profiles'!$T$5:$T$12,MATCH($B$5,'Manager Profiles'!$A$5:$A$12,0)),IF(M7="RB",INDEX('Manager Profiles'!$U$5:$U$12,MATCH($B$5,'Manager Profiles'!$A$5:$A$12,0)),IF(M7="WR",INDEX('Manager Profiles'!$V$5:$V$12,MATCH($B$5,'Manager Profiles'!$A$5:$A$12,0)),IF(M7="TE",INDEX('Manager Profiles'!$W$5:$W$12,MATCH($B$5,'Manager Profiles'!$A$5:$A$12,0)),0)))))</f>
        <v>9</v>
      </c>
      <c r="U7">
        <f t="shared" si="1"/>
        <v>-5</v>
      </c>
      <c r="V7" t="str">
        <f t="shared" si="2"/>
        <v/>
      </c>
      <c r="W7">
        <f t="shared" ca="1" si="3"/>
        <v>-9999</v>
      </c>
      <c r="X7">
        <f ca="1">IF(M7="","",IFERROR(_xludf.MINIFS($N$5:$N$164,$M$5:$M$164,M7,$N$5:$N$164,"&gt;"&amp;N7,$P$5:$P$164,"&gt;-9999"),N7+20))</f>
        <v>21</v>
      </c>
      <c r="Y7">
        <f t="shared" ca="1" si="4"/>
        <v>20</v>
      </c>
      <c r="Z7" t="str">
        <f t="shared" si="5"/>
        <v/>
      </c>
      <c r="AA7" t="str">
        <f t="shared" si="6"/>
        <v>Yes</v>
      </c>
      <c r="AB7" t="str">
        <f t="shared" ca="1" si="7"/>
        <v>Yes</v>
      </c>
      <c r="AC7" t="str">
        <f t="shared" si="8"/>
        <v>Yes</v>
      </c>
      <c r="AD7" t="str">
        <f t="shared" ca="1" si="9"/>
        <v>No</v>
      </c>
    </row>
    <row r="8" spans="1:30" ht="13.9">
      <c r="A8" s="56" t="s">
        <v>360</v>
      </c>
      <c r="B8">
        <f>IF(MIN($R$5:$R$148)=9999,"None",MIN($R$5:$R$148))</f>
        <v>13</v>
      </c>
      <c r="L8" t="str">
        <f>'Player Board'!B7</f>
        <v>Josh Allen</v>
      </c>
      <c r="M8" t="str">
        <f>'Player Board'!C7</f>
        <v>QB</v>
      </c>
      <c r="N8">
        <f>'Player Board'!H7</f>
        <v>6</v>
      </c>
      <c r="O8" t="str">
        <f>'Player Board'!Q7</f>
        <v/>
      </c>
      <c r="P8">
        <f>IF(NOT(AND('Player Board'!J7="No",'Player Board'!K7="No")),-9999,(325-N8*2)+((IF(M8="QB",INDEX('Manager Profiles'!$T$5:$T$12,MATCH($B$5,'Manager Profiles'!$A$5:$A$12,0)),IF(M8="RB",INDEX('Manager Profiles'!$U$5:$U$12,MATCH($B$5,'Manager Profiles'!$A$5:$A$12,0)),IF(M8="WR",INDEX('Manager Profiles'!$V$5:$V$12,MATCH($B$5,'Manager Profiles'!$A$5:$A$12,0)),IF(M8="TE",INDEX('Manager Profiles'!$W$5:$W$12,MATCH($B$5,'Manager Profiles'!$A$5:$A$12,0)),0)))))*3)+(IF($B$6="Contender",IF('Player Board'!R7="Veteran",12,IF('Player Board'!R7="Prime",7,IF('Player Board'!R7="Young",3,-4))),IF($B$6="Rebuilder",IF('Player Board'!R7="Rookie",15,IF('Player Board'!R7="Young",10,IF('Player Board'!R7="Prime",2,-15))),IF('Player Board'!R7="Veteran",-2,IF('Player Board'!R7="Rookie",4,2)))))+MAX(-20,MIN(20,($B$4-IF(O8="",N8,O8))*2))+(IFERROR(IF(INDEX('Player Board'!$F$4:$F$163,MATCH(N8+1,'Player Board'!$H$4:$H$163,0))&gt;'Player Board'!F7,8,0),0)))</f>
        <v>-9999</v>
      </c>
      <c r="Q8">
        <f t="shared" si="0"/>
        <v>-9998.9806000000008</v>
      </c>
      <c r="R8">
        <f>IF(AND('Draft Tracker'!D7="Noah",'Draft Tracker'!A7&gt;$B$4),'Draft Tracker'!A7,9999)</f>
        <v>9999</v>
      </c>
      <c r="S8">
        <f>IF(M8="","",IF(M8="QB",INDEX('Manager Profiles'!$T$5:$T$12,MATCH("Noah",'Manager Profiles'!$A$5:$A$12,0)),IF(M8="RB",INDEX('Manager Profiles'!$U$5:$U$12,MATCH("Noah",'Manager Profiles'!$A$5:$A$12,0)),IF(M8="WR",INDEX('Manager Profiles'!$V$5:$V$12,MATCH("Noah",'Manager Profiles'!$A$5:$A$12,0)),IF(M8="TE",INDEX('Manager Profiles'!$W$5:$W$12,MATCH("Noah",'Manager Profiles'!$A$5:$A$12,0)),0)))))</f>
        <v>9</v>
      </c>
      <c r="T8">
        <f>IF(M8="","",IF(M8="QB",INDEX('Manager Profiles'!$T$5:$T$12,MATCH($B$5,'Manager Profiles'!$A$5:$A$12,0)),IF(M8="RB",INDEX('Manager Profiles'!$U$5:$U$12,MATCH($B$5,'Manager Profiles'!$A$5:$A$12,0)),IF(M8="WR",INDEX('Manager Profiles'!$V$5:$V$12,MATCH($B$5,'Manager Profiles'!$A$5:$A$12,0)),IF(M8="TE",INDEX('Manager Profiles'!$W$5:$W$12,MATCH($B$5,'Manager Profiles'!$A$5:$A$12,0)),0)))))</f>
        <v>2</v>
      </c>
      <c r="U8">
        <f t="shared" si="1"/>
        <v>7</v>
      </c>
      <c r="V8" t="str">
        <f t="shared" si="2"/>
        <v/>
      </c>
      <c r="W8">
        <f t="shared" ca="1" si="3"/>
        <v>-9999</v>
      </c>
      <c r="X8">
        <f ca="1">IF(M8="","",IFERROR(_xludf.MINIFS($N$5:$N$164,$M$5:$M$164,M8,$N$5:$N$164,"&gt;"&amp;N8,$P$5:$P$164,"&gt;-9999"),N8+20))</f>
        <v>26</v>
      </c>
      <c r="Y8">
        <f t="shared" ca="1" si="4"/>
        <v>20</v>
      </c>
      <c r="Z8" t="str">
        <f t="shared" si="5"/>
        <v/>
      </c>
      <c r="AA8" t="str">
        <f t="shared" si="6"/>
        <v>Yes</v>
      </c>
      <c r="AB8" t="str">
        <f t="shared" ca="1" si="7"/>
        <v>Yes</v>
      </c>
      <c r="AC8" t="str">
        <f t="shared" si="8"/>
        <v>Yes</v>
      </c>
      <c r="AD8" t="str">
        <f t="shared" ca="1" si="9"/>
        <v>Yes</v>
      </c>
    </row>
    <row r="9" spans="1:30" ht="13.9">
      <c r="A9" s="56" t="s">
        <v>435</v>
      </c>
      <c r="B9" t="s">
        <v>436</v>
      </c>
      <c r="L9" t="str">
        <f>'Player Board'!B8</f>
        <v>Jaxon Smith-Njigba</v>
      </c>
      <c r="M9" t="str">
        <f>'Player Board'!C8</f>
        <v>WR</v>
      </c>
      <c r="N9">
        <f>'Player Board'!H8</f>
        <v>4</v>
      </c>
      <c r="O9" t="str">
        <f>'Player Board'!Q8</f>
        <v/>
      </c>
      <c r="P9">
        <f>IF(NOT(AND('Player Board'!J8="No",'Player Board'!K8="No")),-9999,(325-N9*2)+((IF(M9="QB",INDEX('Manager Profiles'!$T$5:$T$12,MATCH($B$5,'Manager Profiles'!$A$5:$A$12,0)),IF(M9="RB",INDEX('Manager Profiles'!$U$5:$U$12,MATCH($B$5,'Manager Profiles'!$A$5:$A$12,0)),IF(M9="WR",INDEX('Manager Profiles'!$V$5:$V$12,MATCH($B$5,'Manager Profiles'!$A$5:$A$12,0)),IF(M9="TE",INDEX('Manager Profiles'!$W$5:$W$12,MATCH($B$5,'Manager Profiles'!$A$5:$A$12,0)),0)))))*3)+(IF($B$6="Contender",IF('Player Board'!R8="Veteran",12,IF('Player Board'!R8="Prime",7,IF('Player Board'!R8="Young",3,-4))),IF($B$6="Rebuilder",IF('Player Board'!R8="Rookie",15,IF('Player Board'!R8="Young",10,IF('Player Board'!R8="Prime",2,-15))),IF('Player Board'!R8="Veteran",-2,IF('Player Board'!R8="Rookie",4,2)))))+MAX(-20,MIN(20,($B$4-IF(O9="",N9,O9))*2))+(IFERROR(IF(INDEX('Player Board'!$F$4:$F$163,MATCH(N9+1,'Player Board'!$H$4:$H$163,0))&gt;'Player Board'!F8,8,0),0)))</f>
        <v>-9999</v>
      </c>
      <c r="Q9">
        <f t="shared" si="0"/>
        <v>-9998.9804000000004</v>
      </c>
      <c r="R9">
        <f>IF(AND('Draft Tracker'!D8="Noah",'Draft Tracker'!A8&gt;$B$4),'Draft Tracker'!A8,9999)</f>
        <v>9999</v>
      </c>
      <c r="S9">
        <f>IF(M9="","",IF(M9="QB",INDEX('Manager Profiles'!$T$5:$T$12,MATCH("Noah",'Manager Profiles'!$A$5:$A$12,0)),IF(M9="RB",INDEX('Manager Profiles'!$U$5:$U$12,MATCH("Noah",'Manager Profiles'!$A$5:$A$12,0)),IF(M9="WR",INDEX('Manager Profiles'!$V$5:$V$12,MATCH("Noah",'Manager Profiles'!$A$5:$A$12,0)),IF(M9="TE",INDEX('Manager Profiles'!$W$5:$W$12,MATCH("Noah",'Manager Profiles'!$A$5:$A$12,0)),0)))))</f>
        <v>1</v>
      </c>
      <c r="T9">
        <f>IF(M9="","",IF(M9="QB",INDEX('Manager Profiles'!$T$5:$T$12,MATCH($B$5,'Manager Profiles'!$A$5:$A$12,0)),IF(M9="RB",INDEX('Manager Profiles'!$U$5:$U$12,MATCH($B$5,'Manager Profiles'!$A$5:$A$12,0)),IF(M9="WR",INDEX('Manager Profiles'!$V$5:$V$12,MATCH($B$5,'Manager Profiles'!$A$5:$A$12,0)),IF(M9="TE",INDEX('Manager Profiles'!$W$5:$W$12,MATCH($B$5,'Manager Profiles'!$A$5:$A$12,0)),0)))))</f>
        <v>3</v>
      </c>
      <c r="U9">
        <f t="shared" si="1"/>
        <v>-2</v>
      </c>
      <c r="V9" t="str">
        <f t="shared" si="2"/>
        <v/>
      </c>
      <c r="W9">
        <f t="shared" ca="1" si="3"/>
        <v>-9999</v>
      </c>
      <c r="X9">
        <f ca="1">IF(M9="","",IFERROR(_xludf.MINIFS($N$5:$N$164,$M$5:$M$164,M9,$N$5:$N$164,"&gt;"&amp;N9,$P$5:$P$164,"&gt;-9999"),N9+20))</f>
        <v>24</v>
      </c>
      <c r="Y9">
        <f t="shared" ca="1" si="4"/>
        <v>20</v>
      </c>
      <c r="Z9" t="str">
        <f t="shared" si="5"/>
        <v/>
      </c>
      <c r="AA9" t="str">
        <f t="shared" si="6"/>
        <v>No</v>
      </c>
      <c r="AB9" t="str">
        <f t="shared" ca="1" si="7"/>
        <v>Yes</v>
      </c>
      <c r="AC9" t="str">
        <f t="shared" si="8"/>
        <v>Yes</v>
      </c>
      <c r="AD9" t="str">
        <f t="shared" ca="1" si="9"/>
        <v>No</v>
      </c>
    </row>
    <row r="10" spans="1:30">
      <c r="L10" t="str">
        <f>'Player Board'!B9</f>
        <v>Drake Maye</v>
      </c>
      <c r="M10" t="str">
        <f>'Player Board'!C9</f>
        <v>QB</v>
      </c>
      <c r="N10">
        <f>'Player Board'!H9</f>
        <v>14</v>
      </c>
      <c r="O10" t="str">
        <f>'Player Board'!Q9</f>
        <v/>
      </c>
      <c r="P10">
        <f>IF(NOT(AND('Player Board'!J9="No",'Player Board'!K9="No")),-9999,(325-N10*2)+((IF(M10="QB",INDEX('Manager Profiles'!$T$5:$T$12,MATCH($B$5,'Manager Profiles'!$A$5:$A$12,0)),IF(M10="RB",INDEX('Manager Profiles'!$U$5:$U$12,MATCH($B$5,'Manager Profiles'!$A$5:$A$12,0)),IF(M10="WR",INDEX('Manager Profiles'!$V$5:$V$12,MATCH($B$5,'Manager Profiles'!$A$5:$A$12,0)),IF(M10="TE",INDEX('Manager Profiles'!$W$5:$W$12,MATCH($B$5,'Manager Profiles'!$A$5:$A$12,0)),0)))))*3)+(IF($B$6="Contender",IF('Player Board'!R9="Veteran",12,IF('Player Board'!R9="Prime",7,IF('Player Board'!R9="Young",3,-4))),IF($B$6="Rebuilder",IF('Player Board'!R9="Rookie",15,IF('Player Board'!R9="Young",10,IF('Player Board'!R9="Prime",2,-15))),IF('Player Board'!R9="Veteran",-2,IF('Player Board'!R9="Rookie",4,2)))))+MAX(-20,MIN(20,($B$4-IF(O10="",N10,O10))*2))+(IFERROR(IF(INDEX('Player Board'!$F$4:$F$163,MATCH(N10+1,'Player Board'!$H$4:$H$163,0))&gt;'Player Board'!F9,8,0),0)))</f>
        <v>-9999</v>
      </c>
      <c r="Q10">
        <f t="shared" si="0"/>
        <v>-9998.9814000000006</v>
      </c>
      <c r="R10">
        <f>IF(AND('Draft Tracker'!D9="Noah",'Draft Tracker'!A9&gt;$B$4),'Draft Tracker'!A9,9999)</f>
        <v>9999</v>
      </c>
      <c r="S10">
        <f>IF(M10="","",IF(M10="QB",INDEX('Manager Profiles'!$T$5:$T$12,MATCH("Noah",'Manager Profiles'!$A$5:$A$12,0)),IF(M10="RB",INDEX('Manager Profiles'!$U$5:$U$12,MATCH("Noah",'Manager Profiles'!$A$5:$A$12,0)),IF(M10="WR",INDEX('Manager Profiles'!$V$5:$V$12,MATCH("Noah",'Manager Profiles'!$A$5:$A$12,0)),IF(M10="TE",INDEX('Manager Profiles'!$W$5:$W$12,MATCH("Noah",'Manager Profiles'!$A$5:$A$12,0)),0)))))</f>
        <v>9</v>
      </c>
      <c r="T10">
        <f>IF(M10="","",IF(M10="QB",INDEX('Manager Profiles'!$T$5:$T$12,MATCH($B$5,'Manager Profiles'!$A$5:$A$12,0)),IF(M10="RB",INDEX('Manager Profiles'!$U$5:$U$12,MATCH($B$5,'Manager Profiles'!$A$5:$A$12,0)),IF(M10="WR",INDEX('Manager Profiles'!$V$5:$V$12,MATCH($B$5,'Manager Profiles'!$A$5:$A$12,0)),IF(M10="TE",INDEX('Manager Profiles'!$W$5:$W$12,MATCH($B$5,'Manager Profiles'!$A$5:$A$12,0)),0)))))</f>
        <v>2</v>
      </c>
      <c r="U10">
        <f t="shared" si="1"/>
        <v>7</v>
      </c>
      <c r="V10" t="str">
        <f t="shared" si="2"/>
        <v/>
      </c>
      <c r="W10">
        <f t="shared" ca="1" si="3"/>
        <v>-9999</v>
      </c>
      <c r="X10">
        <f ca="1">IF(M10="","",IFERROR(_xludf.MINIFS($N$5:$N$164,$M$5:$M$164,M10,$N$5:$N$164,"&gt;"&amp;N10,$P$5:$P$164,"&gt;-9999"),N10+20))</f>
        <v>34</v>
      </c>
      <c r="Y10">
        <f t="shared" ca="1" si="4"/>
        <v>20</v>
      </c>
      <c r="Z10" t="str">
        <f t="shared" si="5"/>
        <v/>
      </c>
      <c r="AA10" t="str">
        <f t="shared" si="6"/>
        <v>Yes</v>
      </c>
      <c r="AB10" t="str">
        <f t="shared" ca="1" si="7"/>
        <v>Yes</v>
      </c>
      <c r="AC10" t="str">
        <f t="shared" si="8"/>
        <v>Yes</v>
      </c>
      <c r="AD10" t="str">
        <f t="shared" ca="1" si="9"/>
        <v>Yes</v>
      </c>
    </row>
    <row r="11" spans="1:30" ht="13.9">
      <c r="A11" s="53" t="s">
        <v>437</v>
      </c>
      <c r="B11" s="53" t="s">
        <v>121</v>
      </c>
      <c r="C11" s="53" t="s">
        <v>122</v>
      </c>
      <c r="D11" s="53" t="s">
        <v>417</v>
      </c>
      <c r="E11" s="53" t="s">
        <v>418</v>
      </c>
      <c r="F11" s="53" t="s">
        <v>438</v>
      </c>
      <c r="G11" s="53" t="s">
        <v>439</v>
      </c>
      <c r="H11" s="53" t="s">
        <v>20</v>
      </c>
      <c r="I11" s="53" t="s">
        <v>125</v>
      </c>
      <c r="J11" s="53" t="s">
        <v>440</v>
      </c>
      <c r="L11" t="str">
        <f>'Player Board'!B10</f>
        <v>Puka Nacua</v>
      </c>
      <c r="M11" t="str">
        <f>'Player Board'!C10</f>
        <v>WR</v>
      </c>
      <c r="N11">
        <f>'Player Board'!H10</f>
        <v>5</v>
      </c>
      <c r="O11" t="str">
        <f>'Player Board'!Q10</f>
        <v/>
      </c>
      <c r="P11">
        <f>IF(NOT(AND('Player Board'!J10="No",'Player Board'!K10="No")),-9999,(325-N11*2)+((IF(M11="QB",INDEX('Manager Profiles'!$T$5:$T$12,MATCH($B$5,'Manager Profiles'!$A$5:$A$12,0)),IF(M11="RB",INDEX('Manager Profiles'!$U$5:$U$12,MATCH($B$5,'Manager Profiles'!$A$5:$A$12,0)),IF(M11="WR",INDEX('Manager Profiles'!$V$5:$V$12,MATCH($B$5,'Manager Profiles'!$A$5:$A$12,0)),IF(M11="TE",INDEX('Manager Profiles'!$W$5:$W$12,MATCH($B$5,'Manager Profiles'!$A$5:$A$12,0)),0)))))*3)+(IF($B$6="Contender",IF('Player Board'!R10="Veteran",12,IF('Player Board'!R10="Prime",7,IF('Player Board'!R10="Young",3,-4))),IF($B$6="Rebuilder",IF('Player Board'!R10="Rookie",15,IF('Player Board'!R10="Young",10,IF('Player Board'!R10="Prime",2,-15))),IF('Player Board'!R10="Veteran",-2,IF('Player Board'!R10="Rookie",4,2)))))+MAX(-20,MIN(20,($B$4-IF(O11="",N11,O11))*2))+(IFERROR(IF(INDEX('Player Board'!$F$4:$F$163,MATCH(N11+1,'Player Board'!$H$4:$H$163,0))&gt;'Player Board'!F10,8,0),0)))</f>
        <v>-9999</v>
      </c>
      <c r="Q11">
        <f t="shared" si="0"/>
        <v>-9998.9804999999997</v>
      </c>
      <c r="R11">
        <f>IF(AND('Draft Tracker'!D10="Noah",'Draft Tracker'!A10&gt;$B$4),'Draft Tracker'!A10,9999)</f>
        <v>9999</v>
      </c>
      <c r="S11">
        <f>IF(M11="","",IF(M11="QB",INDEX('Manager Profiles'!$T$5:$T$12,MATCH("Noah",'Manager Profiles'!$A$5:$A$12,0)),IF(M11="RB",INDEX('Manager Profiles'!$U$5:$U$12,MATCH("Noah",'Manager Profiles'!$A$5:$A$12,0)),IF(M11="WR",INDEX('Manager Profiles'!$V$5:$V$12,MATCH("Noah",'Manager Profiles'!$A$5:$A$12,0)),IF(M11="TE",INDEX('Manager Profiles'!$W$5:$W$12,MATCH("Noah",'Manager Profiles'!$A$5:$A$12,0)),0)))))</f>
        <v>1</v>
      </c>
      <c r="T11">
        <f>IF(M11="","",IF(M11="QB",INDEX('Manager Profiles'!$T$5:$T$12,MATCH($B$5,'Manager Profiles'!$A$5:$A$12,0)),IF(M11="RB",INDEX('Manager Profiles'!$U$5:$U$12,MATCH($B$5,'Manager Profiles'!$A$5:$A$12,0)),IF(M11="WR",INDEX('Manager Profiles'!$V$5:$V$12,MATCH($B$5,'Manager Profiles'!$A$5:$A$12,0)),IF(M11="TE",INDEX('Manager Profiles'!$W$5:$W$12,MATCH($B$5,'Manager Profiles'!$A$5:$A$12,0)),0)))))</f>
        <v>3</v>
      </c>
      <c r="U11">
        <f t="shared" si="1"/>
        <v>-2</v>
      </c>
      <c r="V11" t="str">
        <f t="shared" si="2"/>
        <v/>
      </c>
      <c r="W11">
        <f t="shared" ca="1" si="3"/>
        <v>-9999</v>
      </c>
      <c r="X11">
        <f ca="1">IF(M11="","",IFERROR(_xludf.MINIFS($N$5:$N$164,$M$5:$M$164,M11,$N$5:$N$164,"&gt;"&amp;N11,$P$5:$P$164,"&gt;-9999"),N11+20))</f>
        <v>25</v>
      </c>
      <c r="Y11">
        <f t="shared" ca="1" si="4"/>
        <v>20</v>
      </c>
      <c r="Z11" t="str">
        <f t="shared" si="5"/>
        <v/>
      </c>
      <c r="AA11" t="str">
        <f t="shared" si="6"/>
        <v>No</v>
      </c>
      <c r="AB11" t="str">
        <f t="shared" ca="1" si="7"/>
        <v>Yes</v>
      </c>
      <c r="AC11" t="str">
        <f t="shared" si="8"/>
        <v>Yes</v>
      </c>
      <c r="AD11" t="str">
        <f t="shared" ca="1" si="9"/>
        <v>No</v>
      </c>
    </row>
    <row r="12" spans="1:30">
      <c r="A12">
        <v>1</v>
      </c>
      <c r="B12" t="str">
        <f>IFERROR(INDEX($L$5:$L$164,MATCH(LARGE($Q$5:$Q$164,1),$Q$5:$Q$164,0)),"")</f>
        <v>Jeremiyah Love</v>
      </c>
      <c r="C12" t="str">
        <f t="shared" ref="C12:C21" si="10">IFERROR(INDEX($M$5:$M$164,MATCH(B12,$L$5:$L$164,0)),"")</f>
        <v>RB</v>
      </c>
      <c r="D12">
        <f t="shared" ref="D12:D21" si="11">IFERROR(INDEX($N$5:$N$164,MATCH(B12,$L$5:$L$164,0)),"")</f>
        <v>24</v>
      </c>
      <c r="E12">
        <f t="shared" ref="E12:E21" si="12">IFERROR(INDEX($O$5:$O$164,MATCH(B12,$L$5:$L$164,0)),"")</f>
        <v>1</v>
      </c>
      <c r="F12">
        <f>IF(B12="","",IF(C12="QB",INDEX('Manager Profiles'!$T$5:$T$12,MATCH($B$5,'Manager Profiles'!$A$5:$A$12,0)),IF(C12="RB",INDEX('Manager Profiles'!$U$5:$U$12,MATCH($B$5,'Manager Profiles'!$A$5:$A$12,0)),IF(C12="WR",INDEX('Manager Profiles'!$V$5:$V$12,MATCH($B$5,'Manager Profiles'!$A$5:$A$12,0)),IF(C12="TE",INDEX('Manager Profiles'!$W$5:$W$12,MATCH($B$5,'Manager Profiles'!$A$5:$A$12,0)),0)))))</f>
        <v>9</v>
      </c>
      <c r="G12">
        <f>IF(B12="","",IF($B$6="Contender",IF(INDEX('Player Board'!$R$4:$R$163,MATCH(B12,'Player Board'!$B$4:$B$163,0))="Veteran",12,5),IF($B$6="Rebuilder",10,2)))</f>
        <v>2</v>
      </c>
      <c r="H12">
        <f t="shared" ref="H12:H21" si="13">IF(OR(B12="",E12=""),"",MAX(-20,MIN(20,($B$4-E12)*2)))</f>
        <v>0</v>
      </c>
      <c r="I12">
        <f>IF(B12="","",IFERROR(IF(INDEX('Player Board'!$F$4:$F$163,MATCH(D12+1,'Player Board'!$H$4:$H$163,0))&gt;INDEX('Player Board'!$F$4:$F$163,MATCH(B12,'Player Board'!$B$4:$B$163,0)),8,0),0))</f>
        <v>0</v>
      </c>
      <c r="J12">
        <f t="shared" ref="J12:J21" si="14">IFERROR(INDEX($P$5:$P$164,MATCH(B12,$L$5:$L$164,0)),"")</f>
        <v>308</v>
      </c>
      <c r="L12" t="str">
        <f>'Player Board'!B11</f>
        <v>Brock Bowers</v>
      </c>
      <c r="M12" t="str">
        <f>'Player Board'!C11</f>
        <v>TE</v>
      </c>
      <c r="N12">
        <f>'Player Board'!H11</f>
        <v>8</v>
      </c>
      <c r="O12" t="str">
        <f>'Player Board'!Q11</f>
        <v/>
      </c>
      <c r="P12">
        <f>IF(NOT(AND('Player Board'!J11="No",'Player Board'!K11="No")),-9999,(325-N12*2)+((IF(M12="QB",INDEX('Manager Profiles'!$T$5:$T$12,MATCH($B$5,'Manager Profiles'!$A$5:$A$12,0)),IF(M12="RB",INDEX('Manager Profiles'!$U$5:$U$12,MATCH($B$5,'Manager Profiles'!$A$5:$A$12,0)),IF(M12="WR",INDEX('Manager Profiles'!$V$5:$V$12,MATCH($B$5,'Manager Profiles'!$A$5:$A$12,0)),IF(M12="TE",INDEX('Manager Profiles'!$W$5:$W$12,MATCH($B$5,'Manager Profiles'!$A$5:$A$12,0)),0)))))*3)+(IF($B$6="Contender",IF('Player Board'!R11="Veteran",12,IF('Player Board'!R11="Prime",7,IF('Player Board'!R11="Young",3,-4))),IF($B$6="Rebuilder",IF('Player Board'!R11="Rookie",15,IF('Player Board'!R11="Young",10,IF('Player Board'!R11="Prime",2,-15))),IF('Player Board'!R11="Veteran",-2,IF('Player Board'!R11="Rookie",4,2)))))+MAX(-20,MIN(20,($B$4-IF(O12="",N12,O12))*2))+(IFERROR(IF(INDEX('Player Board'!$F$4:$F$163,MATCH(N12+1,'Player Board'!$H$4:$H$163,0))&gt;'Player Board'!F11,8,0),0)))</f>
        <v>-9999</v>
      </c>
      <c r="Q12">
        <f t="shared" si="0"/>
        <v>-9998.9807999999994</v>
      </c>
      <c r="R12">
        <f>IF(AND('Draft Tracker'!D11="Noah",'Draft Tracker'!A11&gt;$B$4),'Draft Tracker'!A11,9999)</f>
        <v>9999</v>
      </c>
      <c r="S12">
        <f>IF(M12="","",IF(M12="QB",INDEX('Manager Profiles'!$T$5:$T$12,MATCH("Noah",'Manager Profiles'!$A$5:$A$12,0)),IF(M12="RB",INDEX('Manager Profiles'!$U$5:$U$12,MATCH("Noah",'Manager Profiles'!$A$5:$A$12,0)),IF(M12="WR",INDEX('Manager Profiles'!$V$5:$V$12,MATCH("Noah",'Manager Profiles'!$A$5:$A$12,0)),IF(M12="TE",INDEX('Manager Profiles'!$W$5:$W$12,MATCH("Noah",'Manager Profiles'!$A$5:$A$12,0)),0)))))</f>
        <v>7</v>
      </c>
      <c r="T12">
        <f>IF(M12="","",IF(M12="QB",INDEX('Manager Profiles'!$T$5:$T$12,MATCH($B$5,'Manager Profiles'!$A$5:$A$12,0)),IF(M12="RB",INDEX('Manager Profiles'!$U$5:$U$12,MATCH($B$5,'Manager Profiles'!$A$5:$A$12,0)),IF(M12="WR",INDEX('Manager Profiles'!$V$5:$V$12,MATCH($B$5,'Manager Profiles'!$A$5:$A$12,0)),IF(M12="TE",INDEX('Manager Profiles'!$W$5:$W$12,MATCH($B$5,'Manager Profiles'!$A$5:$A$12,0)),0)))))</f>
        <v>3</v>
      </c>
      <c r="U12">
        <f t="shared" si="1"/>
        <v>4</v>
      </c>
      <c r="V12" t="str">
        <f t="shared" si="2"/>
        <v/>
      </c>
      <c r="W12">
        <f t="shared" ca="1" si="3"/>
        <v>-9999</v>
      </c>
      <c r="X12">
        <f ca="1">IF(M12="","",IFERROR(_xludf.MINIFS($N$5:$N$164,$M$5:$M$164,M12,$N$5:$N$164,"&gt;"&amp;N12,$P$5:$P$164,"&gt;-9999"),N12+20))</f>
        <v>28</v>
      </c>
      <c r="Y12">
        <f t="shared" ca="1" si="4"/>
        <v>20</v>
      </c>
      <c r="Z12" t="str">
        <f t="shared" si="5"/>
        <v/>
      </c>
      <c r="AA12" t="str">
        <f t="shared" si="6"/>
        <v>Yes</v>
      </c>
      <c r="AB12" t="str">
        <f t="shared" ca="1" si="7"/>
        <v>Yes</v>
      </c>
      <c r="AC12" t="str">
        <f t="shared" si="8"/>
        <v>Yes</v>
      </c>
      <c r="AD12" t="str">
        <f t="shared" ca="1" si="9"/>
        <v>Yes</v>
      </c>
    </row>
    <row r="13" spans="1:30">
      <c r="A13">
        <v>2</v>
      </c>
      <c r="B13" t="str">
        <f>IFERROR(INDEX($L$5:$L$164,MATCH(LARGE($Q$5:$Q$164,2),$Q$5:$Q$164,0)),"")</f>
        <v>Carnell Tate</v>
      </c>
      <c r="C13" t="str">
        <f t="shared" si="10"/>
        <v>WR</v>
      </c>
      <c r="D13">
        <f t="shared" si="11"/>
        <v>31</v>
      </c>
      <c r="E13">
        <f t="shared" si="12"/>
        <v>2</v>
      </c>
      <c r="F13">
        <f>IF(B13="","",IF(C13="QB",INDEX('Manager Profiles'!$T$5:$T$12,MATCH($B$5,'Manager Profiles'!$A$5:$A$12,0)),IF(C13="RB",INDEX('Manager Profiles'!$U$5:$U$12,MATCH($B$5,'Manager Profiles'!$A$5:$A$12,0)),IF(C13="WR",INDEX('Manager Profiles'!$V$5:$V$12,MATCH($B$5,'Manager Profiles'!$A$5:$A$12,0)),IF(C13="TE",INDEX('Manager Profiles'!$W$5:$W$12,MATCH($B$5,'Manager Profiles'!$A$5:$A$12,0)),0)))))</f>
        <v>3</v>
      </c>
      <c r="G13">
        <f>IF(B13="","",IF($B$6="Contender",IF(INDEX('Player Board'!$R$4:$R$163,MATCH(B13,'Player Board'!$B$4:$B$163,0))="Veteran",12,5),IF($B$6="Rebuilder",10,2)))</f>
        <v>2</v>
      </c>
      <c r="H13">
        <f t="shared" si="13"/>
        <v>-2</v>
      </c>
      <c r="I13">
        <f>IF(B13="","",IFERROR(IF(INDEX('Player Board'!$F$4:$F$163,MATCH(D13+1,'Player Board'!$H$4:$H$163,0))&gt;INDEX('Player Board'!$F$4:$F$163,MATCH(B13,'Player Board'!$B$4:$B$163,0)),8,0),0))</f>
        <v>0</v>
      </c>
      <c r="J13">
        <f t="shared" si="14"/>
        <v>274</v>
      </c>
      <c r="L13" t="str">
        <f>'Player Board'!B12</f>
        <v>Caleb Williams</v>
      </c>
      <c r="M13" t="str">
        <f>'Player Board'!C12</f>
        <v>QB</v>
      </c>
      <c r="N13">
        <f>'Player Board'!H12</f>
        <v>16</v>
      </c>
      <c r="O13" t="str">
        <f>'Player Board'!Q12</f>
        <v/>
      </c>
      <c r="P13">
        <f>IF(NOT(AND('Player Board'!J12="No",'Player Board'!K12="No")),-9999,(325-N13*2)+((IF(M13="QB",INDEX('Manager Profiles'!$T$5:$T$12,MATCH($B$5,'Manager Profiles'!$A$5:$A$12,0)),IF(M13="RB",INDEX('Manager Profiles'!$U$5:$U$12,MATCH($B$5,'Manager Profiles'!$A$5:$A$12,0)),IF(M13="WR",INDEX('Manager Profiles'!$V$5:$V$12,MATCH($B$5,'Manager Profiles'!$A$5:$A$12,0)),IF(M13="TE",INDEX('Manager Profiles'!$W$5:$W$12,MATCH($B$5,'Manager Profiles'!$A$5:$A$12,0)),0)))))*3)+(IF($B$6="Contender",IF('Player Board'!R12="Veteran",12,IF('Player Board'!R12="Prime",7,IF('Player Board'!R12="Young",3,-4))),IF($B$6="Rebuilder",IF('Player Board'!R12="Rookie",15,IF('Player Board'!R12="Young",10,IF('Player Board'!R12="Prime",2,-15))),IF('Player Board'!R12="Veteran",-2,IF('Player Board'!R12="Rookie",4,2)))))+MAX(-20,MIN(20,($B$4-IF(O13="",N13,O13))*2))+(IFERROR(IF(INDEX('Player Board'!$F$4:$F$163,MATCH(N13+1,'Player Board'!$H$4:$H$163,0))&gt;'Player Board'!F12,8,0),0)))</f>
        <v>-9999</v>
      </c>
      <c r="Q13">
        <f t="shared" si="0"/>
        <v>-9998.9815999999992</v>
      </c>
      <c r="R13">
        <f>IF(AND('Draft Tracker'!D12="Noah",'Draft Tracker'!A12&gt;$B$4),'Draft Tracker'!A12,9999)</f>
        <v>9999</v>
      </c>
      <c r="S13">
        <f>IF(M13="","",IF(M13="QB",INDEX('Manager Profiles'!$T$5:$T$12,MATCH("Noah",'Manager Profiles'!$A$5:$A$12,0)),IF(M13="RB",INDEX('Manager Profiles'!$U$5:$U$12,MATCH("Noah",'Manager Profiles'!$A$5:$A$12,0)),IF(M13="WR",INDEX('Manager Profiles'!$V$5:$V$12,MATCH("Noah",'Manager Profiles'!$A$5:$A$12,0)),IF(M13="TE",INDEX('Manager Profiles'!$W$5:$W$12,MATCH("Noah",'Manager Profiles'!$A$5:$A$12,0)),0)))))</f>
        <v>9</v>
      </c>
      <c r="T13">
        <f>IF(M13="","",IF(M13="QB",INDEX('Manager Profiles'!$T$5:$T$12,MATCH($B$5,'Manager Profiles'!$A$5:$A$12,0)),IF(M13="RB",INDEX('Manager Profiles'!$U$5:$U$12,MATCH($B$5,'Manager Profiles'!$A$5:$A$12,0)),IF(M13="WR",INDEX('Manager Profiles'!$V$5:$V$12,MATCH($B$5,'Manager Profiles'!$A$5:$A$12,0)),IF(M13="TE",INDEX('Manager Profiles'!$W$5:$W$12,MATCH($B$5,'Manager Profiles'!$A$5:$A$12,0)),0)))))</f>
        <v>2</v>
      </c>
      <c r="U13">
        <f t="shared" si="1"/>
        <v>7</v>
      </c>
      <c r="V13" t="str">
        <f t="shared" si="2"/>
        <v/>
      </c>
      <c r="W13">
        <f t="shared" ca="1" si="3"/>
        <v>-9999</v>
      </c>
      <c r="X13">
        <f ca="1">IF(M13="","",IFERROR(_xludf.MINIFS($N$5:$N$164,$M$5:$M$164,M13,$N$5:$N$164,"&gt;"&amp;N13,$P$5:$P$164,"&gt;-9999"),N13+20))</f>
        <v>36</v>
      </c>
      <c r="Y13">
        <f t="shared" ca="1" si="4"/>
        <v>20</v>
      </c>
      <c r="Z13" t="str">
        <f t="shared" si="5"/>
        <v/>
      </c>
      <c r="AA13" t="str">
        <f t="shared" si="6"/>
        <v>Yes</v>
      </c>
      <c r="AB13" t="str">
        <f t="shared" ca="1" si="7"/>
        <v>Yes</v>
      </c>
      <c r="AC13" t="str">
        <f t="shared" si="8"/>
        <v>Yes</v>
      </c>
      <c r="AD13" t="str">
        <f t="shared" ca="1" si="9"/>
        <v>Yes</v>
      </c>
    </row>
    <row r="14" spans="1:30">
      <c r="A14">
        <v>3</v>
      </c>
      <c r="B14" t="str">
        <f>IFERROR(INDEX($L$5:$L$164,MATCH(LARGE($Q$5:$Q$164,3),$Q$5:$Q$164,0)),"")</f>
        <v>Jordyn Tyson</v>
      </c>
      <c r="C14" t="str">
        <f t="shared" si="10"/>
        <v>WR</v>
      </c>
      <c r="D14">
        <f t="shared" si="11"/>
        <v>51</v>
      </c>
      <c r="E14">
        <f t="shared" si="12"/>
        <v>3</v>
      </c>
      <c r="F14">
        <f>IF(B14="","",IF(C14="QB",INDEX('Manager Profiles'!$T$5:$T$12,MATCH($B$5,'Manager Profiles'!$A$5:$A$12,0)),IF(C14="RB",INDEX('Manager Profiles'!$U$5:$U$12,MATCH($B$5,'Manager Profiles'!$A$5:$A$12,0)),IF(C14="WR",INDEX('Manager Profiles'!$V$5:$V$12,MATCH($B$5,'Manager Profiles'!$A$5:$A$12,0)),IF(C14="TE",INDEX('Manager Profiles'!$W$5:$W$12,MATCH($B$5,'Manager Profiles'!$A$5:$A$12,0)),0)))))</f>
        <v>3</v>
      </c>
      <c r="G14">
        <f>IF(B14="","",IF($B$6="Contender",IF(INDEX('Player Board'!$R$4:$R$163,MATCH(B14,'Player Board'!$B$4:$B$163,0))="Veteran",12,5),IF($B$6="Rebuilder",10,2)))</f>
        <v>2</v>
      </c>
      <c r="H14">
        <f t="shared" si="13"/>
        <v>-4</v>
      </c>
      <c r="I14">
        <f>IF(B14="","",IFERROR(IF(INDEX('Player Board'!$F$4:$F$163,MATCH(D14+1,'Player Board'!$H$4:$H$163,0))&gt;INDEX('Player Board'!$F$4:$F$163,MATCH(B14,'Player Board'!$B$4:$B$163,0)),8,0),0))</f>
        <v>0</v>
      </c>
      <c r="J14">
        <f t="shared" si="14"/>
        <v>232</v>
      </c>
      <c r="L14" t="str">
        <f>'Player Board'!B13</f>
        <v>Amon-Ra St. Brown</v>
      </c>
      <c r="M14" t="str">
        <f>'Player Board'!C13</f>
        <v>WR</v>
      </c>
      <c r="N14">
        <f>'Player Board'!H13</f>
        <v>7</v>
      </c>
      <c r="O14" t="str">
        <f>'Player Board'!Q13</f>
        <v/>
      </c>
      <c r="P14">
        <f>IF(NOT(AND('Player Board'!J13="No",'Player Board'!K13="No")),-9999,(325-N14*2)+((IF(M14="QB",INDEX('Manager Profiles'!$T$5:$T$12,MATCH($B$5,'Manager Profiles'!$A$5:$A$12,0)),IF(M14="RB",INDEX('Manager Profiles'!$U$5:$U$12,MATCH($B$5,'Manager Profiles'!$A$5:$A$12,0)),IF(M14="WR",INDEX('Manager Profiles'!$V$5:$V$12,MATCH($B$5,'Manager Profiles'!$A$5:$A$12,0)),IF(M14="TE",INDEX('Manager Profiles'!$W$5:$W$12,MATCH($B$5,'Manager Profiles'!$A$5:$A$12,0)),0)))))*3)+(IF($B$6="Contender",IF('Player Board'!R13="Veteran",12,IF('Player Board'!R13="Prime",7,IF('Player Board'!R13="Young",3,-4))),IF($B$6="Rebuilder",IF('Player Board'!R13="Rookie",15,IF('Player Board'!R13="Young",10,IF('Player Board'!R13="Prime",2,-15))),IF('Player Board'!R13="Veteran",-2,IF('Player Board'!R13="Rookie",4,2)))))+MAX(-20,MIN(20,($B$4-IF(O14="",N14,O14))*2))+(IFERROR(IF(INDEX('Player Board'!$F$4:$F$163,MATCH(N14+1,'Player Board'!$H$4:$H$163,0))&gt;'Player Board'!F13,8,0),0)))</f>
        <v>-9999</v>
      </c>
      <c r="Q14">
        <f t="shared" si="0"/>
        <v>-9998.9807000000001</v>
      </c>
      <c r="R14">
        <f>IF(AND('Draft Tracker'!D13="Noah",'Draft Tracker'!A13&gt;$B$4),'Draft Tracker'!A13,9999)</f>
        <v>9999</v>
      </c>
      <c r="S14">
        <f>IF(M14="","",IF(M14="QB",INDEX('Manager Profiles'!$T$5:$T$12,MATCH("Noah",'Manager Profiles'!$A$5:$A$12,0)),IF(M14="RB",INDEX('Manager Profiles'!$U$5:$U$12,MATCH("Noah",'Manager Profiles'!$A$5:$A$12,0)),IF(M14="WR",INDEX('Manager Profiles'!$V$5:$V$12,MATCH("Noah",'Manager Profiles'!$A$5:$A$12,0)),IF(M14="TE",INDEX('Manager Profiles'!$W$5:$W$12,MATCH("Noah",'Manager Profiles'!$A$5:$A$12,0)),0)))))</f>
        <v>1</v>
      </c>
      <c r="T14">
        <f>IF(M14="","",IF(M14="QB",INDEX('Manager Profiles'!$T$5:$T$12,MATCH($B$5,'Manager Profiles'!$A$5:$A$12,0)),IF(M14="RB",INDEX('Manager Profiles'!$U$5:$U$12,MATCH($B$5,'Manager Profiles'!$A$5:$A$12,0)),IF(M14="WR",INDEX('Manager Profiles'!$V$5:$V$12,MATCH($B$5,'Manager Profiles'!$A$5:$A$12,0)),IF(M14="TE",INDEX('Manager Profiles'!$W$5:$W$12,MATCH($B$5,'Manager Profiles'!$A$5:$A$12,0)),0)))))</f>
        <v>3</v>
      </c>
      <c r="U14">
        <f t="shared" si="1"/>
        <v>-2</v>
      </c>
      <c r="V14" t="str">
        <f t="shared" si="2"/>
        <v/>
      </c>
      <c r="W14">
        <f t="shared" ca="1" si="3"/>
        <v>-9999</v>
      </c>
      <c r="X14">
        <f ca="1">IF(M14="","",IFERROR(_xludf.MINIFS($N$5:$N$164,$M$5:$M$164,M14,$N$5:$N$164,"&gt;"&amp;N14,$P$5:$P$164,"&gt;-9999"),N14+20))</f>
        <v>27</v>
      </c>
      <c r="Y14">
        <f t="shared" ca="1" si="4"/>
        <v>20</v>
      </c>
      <c r="Z14" t="str">
        <f t="shared" si="5"/>
        <v/>
      </c>
      <c r="AA14" t="str">
        <f t="shared" si="6"/>
        <v>No</v>
      </c>
      <c r="AB14" t="str">
        <f t="shared" ca="1" si="7"/>
        <v>Yes</v>
      </c>
      <c r="AC14" t="str">
        <f t="shared" si="8"/>
        <v>Yes</v>
      </c>
      <c r="AD14" t="str">
        <f t="shared" ca="1" si="9"/>
        <v>No</v>
      </c>
    </row>
    <row r="15" spans="1:30">
      <c r="A15">
        <v>4</v>
      </c>
      <c r="B15" t="str">
        <f>IFERROR(INDEX($L$5:$L$164,MATCH(LARGE($Q$5:$Q$164,4),$Q$5:$Q$164,0)),"")</f>
        <v>Makai Lemon</v>
      </c>
      <c r="C15" t="str">
        <f t="shared" si="10"/>
        <v>WR</v>
      </c>
      <c r="D15">
        <f t="shared" si="11"/>
        <v>52</v>
      </c>
      <c r="E15">
        <f t="shared" si="12"/>
        <v>4</v>
      </c>
      <c r="F15">
        <f>IF(B15="","",IF(C15="QB",INDEX('Manager Profiles'!$T$5:$T$12,MATCH($B$5,'Manager Profiles'!$A$5:$A$12,0)),IF(C15="RB",INDEX('Manager Profiles'!$U$5:$U$12,MATCH($B$5,'Manager Profiles'!$A$5:$A$12,0)),IF(C15="WR",INDEX('Manager Profiles'!$V$5:$V$12,MATCH($B$5,'Manager Profiles'!$A$5:$A$12,0)),IF(C15="TE",INDEX('Manager Profiles'!$W$5:$W$12,MATCH($B$5,'Manager Profiles'!$A$5:$A$12,0)),0)))))</f>
        <v>3</v>
      </c>
      <c r="G15">
        <f>IF(B15="","",IF($B$6="Contender",IF(INDEX('Player Board'!$R$4:$R$163,MATCH(B15,'Player Board'!$B$4:$B$163,0))="Veteran",12,5),IF($B$6="Rebuilder",10,2)))</f>
        <v>2</v>
      </c>
      <c r="H15">
        <f t="shared" si="13"/>
        <v>-6</v>
      </c>
      <c r="I15">
        <f>IF(B15="","",IFERROR(IF(INDEX('Player Board'!$F$4:$F$163,MATCH(D15+1,'Player Board'!$H$4:$H$163,0))&gt;INDEX('Player Board'!$F$4:$F$163,MATCH(B15,'Player Board'!$B$4:$B$163,0)),8,0),0))</f>
        <v>0</v>
      </c>
      <c r="J15">
        <f t="shared" si="14"/>
        <v>228</v>
      </c>
      <c r="L15" t="str">
        <f>'Player Board'!B14</f>
        <v>Ashton Jeanty</v>
      </c>
      <c r="M15" t="str">
        <f>'Player Board'!C14</f>
        <v>RB</v>
      </c>
      <c r="N15">
        <f>'Player Board'!H14</f>
        <v>12</v>
      </c>
      <c r="O15" t="str">
        <f>'Player Board'!Q14</f>
        <v/>
      </c>
      <c r="P15">
        <f>IF(NOT(AND('Player Board'!J14="No",'Player Board'!K14="No")),-9999,(325-N15*2)+((IF(M15="QB",INDEX('Manager Profiles'!$T$5:$T$12,MATCH($B$5,'Manager Profiles'!$A$5:$A$12,0)),IF(M15="RB",INDEX('Manager Profiles'!$U$5:$U$12,MATCH($B$5,'Manager Profiles'!$A$5:$A$12,0)),IF(M15="WR",INDEX('Manager Profiles'!$V$5:$V$12,MATCH($B$5,'Manager Profiles'!$A$5:$A$12,0)),IF(M15="TE",INDEX('Manager Profiles'!$W$5:$W$12,MATCH($B$5,'Manager Profiles'!$A$5:$A$12,0)),0)))))*3)+(IF($B$6="Contender",IF('Player Board'!R14="Veteran",12,IF('Player Board'!R14="Prime",7,IF('Player Board'!R14="Young",3,-4))),IF($B$6="Rebuilder",IF('Player Board'!R14="Rookie",15,IF('Player Board'!R14="Young",10,IF('Player Board'!R14="Prime",2,-15))),IF('Player Board'!R14="Veteran",-2,IF('Player Board'!R14="Rookie",4,2)))))+MAX(-20,MIN(20,($B$4-IF(O15="",N15,O15))*2))+(IFERROR(IF(INDEX('Player Board'!$F$4:$F$163,MATCH(N15+1,'Player Board'!$H$4:$H$163,0))&gt;'Player Board'!F14,8,0),0)))</f>
        <v>-9999</v>
      </c>
      <c r="Q15">
        <f t="shared" si="0"/>
        <v>-9998.9812000000002</v>
      </c>
      <c r="R15">
        <f>IF(AND('Draft Tracker'!D14="Noah",'Draft Tracker'!A14&gt;$B$4),'Draft Tracker'!A14,9999)</f>
        <v>9999</v>
      </c>
      <c r="S15">
        <f>IF(M15="","",IF(M15="QB",INDEX('Manager Profiles'!$T$5:$T$12,MATCH("Noah",'Manager Profiles'!$A$5:$A$12,0)),IF(M15="RB",INDEX('Manager Profiles'!$U$5:$U$12,MATCH("Noah",'Manager Profiles'!$A$5:$A$12,0)),IF(M15="WR",INDEX('Manager Profiles'!$V$5:$V$12,MATCH("Noah",'Manager Profiles'!$A$5:$A$12,0)),IF(M15="TE",INDEX('Manager Profiles'!$W$5:$W$12,MATCH("Noah",'Manager Profiles'!$A$5:$A$12,0)),0)))))</f>
        <v>4</v>
      </c>
      <c r="T15">
        <f>IF(M15="","",IF(M15="QB",INDEX('Manager Profiles'!$T$5:$T$12,MATCH($B$5,'Manager Profiles'!$A$5:$A$12,0)),IF(M15="RB",INDEX('Manager Profiles'!$U$5:$U$12,MATCH($B$5,'Manager Profiles'!$A$5:$A$12,0)),IF(M15="WR",INDEX('Manager Profiles'!$V$5:$V$12,MATCH($B$5,'Manager Profiles'!$A$5:$A$12,0)),IF(M15="TE",INDEX('Manager Profiles'!$W$5:$W$12,MATCH($B$5,'Manager Profiles'!$A$5:$A$12,0)),0)))))</f>
        <v>9</v>
      </c>
      <c r="U15">
        <f t="shared" si="1"/>
        <v>-5</v>
      </c>
      <c r="V15" t="str">
        <f t="shared" si="2"/>
        <v/>
      </c>
      <c r="W15">
        <f t="shared" ca="1" si="3"/>
        <v>-9999</v>
      </c>
      <c r="X15">
        <f ca="1">IF(M15="","",IFERROR(_xludf.MINIFS($N$5:$N$164,$M$5:$M$164,M15,$N$5:$N$164,"&gt;"&amp;N15,$P$5:$P$164,"&gt;-9999"),N15+20))</f>
        <v>32</v>
      </c>
      <c r="Y15">
        <f t="shared" ca="1" si="4"/>
        <v>20</v>
      </c>
      <c r="Z15" t="str">
        <f t="shared" si="5"/>
        <v/>
      </c>
      <c r="AA15" t="str">
        <f t="shared" si="6"/>
        <v>Yes</v>
      </c>
      <c r="AB15" t="str">
        <f t="shared" ca="1" si="7"/>
        <v>Yes</v>
      </c>
      <c r="AC15" t="str">
        <f t="shared" si="8"/>
        <v>Yes</v>
      </c>
      <c r="AD15" t="str">
        <f t="shared" ca="1" si="9"/>
        <v>No</v>
      </c>
    </row>
    <row r="16" spans="1:30">
      <c r="A16">
        <v>5</v>
      </c>
      <c r="B16" t="str">
        <f>IFERROR(INDEX($L$5:$L$164,MATCH(LARGE($Q$5:$Q$164,5),$Q$5:$Q$164,0)),"")</f>
        <v>Fernando Mendoza</v>
      </c>
      <c r="C16" t="str">
        <f t="shared" si="10"/>
        <v>QB</v>
      </c>
      <c r="D16">
        <f t="shared" si="11"/>
        <v>53</v>
      </c>
      <c r="E16">
        <f t="shared" si="12"/>
        <v>5</v>
      </c>
      <c r="F16">
        <f>IF(B16="","",IF(C16="QB",INDEX('Manager Profiles'!$T$5:$T$12,MATCH($B$5,'Manager Profiles'!$A$5:$A$12,0)),IF(C16="RB",INDEX('Manager Profiles'!$U$5:$U$12,MATCH($B$5,'Manager Profiles'!$A$5:$A$12,0)),IF(C16="WR",INDEX('Manager Profiles'!$V$5:$V$12,MATCH($B$5,'Manager Profiles'!$A$5:$A$12,0)),IF(C16="TE",INDEX('Manager Profiles'!$W$5:$W$12,MATCH($B$5,'Manager Profiles'!$A$5:$A$12,0)),0)))))</f>
        <v>2</v>
      </c>
      <c r="G16">
        <f>IF(B16="","",IF($B$6="Contender",IF(INDEX('Player Board'!$R$4:$R$163,MATCH(B16,'Player Board'!$B$4:$B$163,0))="Veteran",12,5),IF($B$6="Rebuilder",10,2)))</f>
        <v>2</v>
      </c>
      <c r="H16">
        <f t="shared" si="13"/>
        <v>-8</v>
      </c>
      <c r="I16">
        <f>IF(B16="","",IFERROR(IF(INDEX('Player Board'!$F$4:$F$163,MATCH(D16+1,'Player Board'!$H$4:$H$163,0))&gt;INDEX('Player Board'!$F$4:$F$163,MATCH(B16,'Player Board'!$B$4:$B$163,0)),8,0),0))</f>
        <v>0</v>
      </c>
      <c r="J16">
        <f t="shared" si="14"/>
        <v>221</v>
      </c>
      <c r="L16" t="str">
        <f>'Player Board'!B15</f>
        <v>Jayden Daniels</v>
      </c>
      <c r="M16" t="str">
        <f>'Player Board'!C15</f>
        <v>QB</v>
      </c>
      <c r="N16">
        <f>'Player Board'!H15</f>
        <v>13</v>
      </c>
      <c r="O16" t="str">
        <f>'Player Board'!Q15</f>
        <v/>
      </c>
      <c r="P16">
        <f>IF(NOT(AND('Player Board'!J15="No",'Player Board'!K15="No")),-9999,(325-N16*2)+((IF(M16="QB",INDEX('Manager Profiles'!$T$5:$T$12,MATCH($B$5,'Manager Profiles'!$A$5:$A$12,0)),IF(M16="RB",INDEX('Manager Profiles'!$U$5:$U$12,MATCH($B$5,'Manager Profiles'!$A$5:$A$12,0)),IF(M16="WR",INDEX('Manager Profiles'!$V$5:$V$12,MATCH($B$5,'Manager Profiles'!$A$5:$A$12,0)),IF(M16="TE",INDEX('Manager Profiles'!$W$5:$W$12,MATCH($B$5,'Manager Profiles'!$A$5:$A$12,0)),0)))))*3)+(IF($B$6="Contender",IF('Player Board'!R15="Veteran",12,IF('Player Board'!R15="Prime",7,IF('Player Board'!R15="Young",3,-4))),IF($B$6="Rebuilder",IF('Player Board'!R15="Rookie",15,IF('Player Board'!R15="Young",10,IF('Player Board'!R15="Prime",2,-15))),IF('Player Board'!R15="Veteran",-2,IF('Player Board'!R15="Rookie",4,2)))))+MAX(-20,MIN(20,($B$4-IF(O16="",N16,O16))*2))+(IFERROR(IF(INDEX('Player Board'!$F$4:$F$163,MATCH(N16+1,'Player Board'!$H$4:$H$163,0))&gt;'Player Board'!F15,8,0),0)))</f>
        <v>-9999</v>
      </c>
      <c r="Q16">
        <f t="shared" si="0"/>
        <v>-9998.9812999999995</v>
      </c>
      <c r="R16">
        <f>IF(AND('Draft Tracker'!D15="Noah",'Draft Tracker'!A15&gt;$B$4),'Draft Tracker'!A15,9999)</f>
        <v>9999</v>
      </c>
      <c r="S16">
        <f>IF(M16="","",IF(M16="QB",INDEX('Manager Profiles'!$T$5:$T$12,MATCH("Noah",'Manager Profiles'!$A$5:$A$12,0)),IF(M16="RB",INDEX('Manager Profiles'!$U$5:$U$12,MATCH("Noah",'Manager Profiles'!$A$5:$A$12,0)),IF(M16="WR",INDEX('Manager Profiles'!$V$5:$V$12,MATCH("Noah",'Manager Profiles'!$A$5:$A$12,0)),IF(M16="TE",INDEX('Manager Profiles'!$W$5:$W$12,MATCH("Noah",'Manager Profiles'!$A$5:$A$12,0)),0)))))</f>
        <v>9</v>
      </c>
      <c r="T16">
        <f>IF(M16="","",IF(M16="QB",INDEX('Manager Profiles'!$T$5:$T$12,MATCH($B$5,'Manager Profiles'!$A$5:$A$12,0)),IF(M16="RB",INDEX('Manager Profiles'!$U$5:$U$12,MATCH($B$5,'Manager Profiles'!$A$5:$A$12,0)),IF(M16="WR",INDEX('Manager Profiles'!$V$5:$V$12,MATCH($B$5,'Manager Profiles'!$A$5:$A$12,0)),IF(M16="TE",INDEX('Manager Profiles'!$W$5:$W$12,MATCH($B$5,'Manager Profiles'!$A$5:$A$12,0)),0)))))</f>
        <v>2</v>
      </c>
      <c r="U16">
        <f t="shared" si="1"/>
        <v>7</v>
      </c>
      <c r="V16" t="str">
        <f t="shared" si="2"/>
        <v/>
      </c>
      <c r="W16">
        <f t="shared" ca="1" si="3"/>
        <v>-9999</v>
      </c>
      <c r="X16">
        <f ca="1">IF(M16="","",IFERROR(_xludf.MINIFS($N$5:$N$164,$M$5:$M$164,M16,$N$5:$N$164,"&gt;"&amp;N16,$P$5:$P$164,"&gt;-9999"),N16+20))</f>
        <v>33</v>
      </c>
      <c r="Y16">
        <f t="shared" ca="1" si="4"/>
        <v>20</v>
      </c>
      <c r="Z16" t="str">
        <f t="shared" si="5"/>
        <v/>
      </c>
      <c r="AA16" t="str">
        <f t="shared" si="6"/>
        <v>Yes</v>
      </c>
      <c r="AB16" t="str">
        <f t="shared" ca="1" si="7"/>
        <v>Yes</v>
      </c>
      <c r="AC16" t="str">
        <f t="shared" si="8"/>
        <v>Yes</v>
      </c>
      <c r="AD16" t="str">
        <f t="shared" ca="1" si="9"/>
        <v>Yes</v>
      </c>
    </row>
    <row r="17" spans="1:30">
      <c r="A17">
        <v>6</v>
      </c>
      <c r="B17" t="str">
        <f>IFERROR(INDEX($L$5:$L$164,MATCH(LARGE($Q$5:$Q$164,6),$Q$5:$Q$164,0)),"")</f>
        <v>Josh Jacobs</v>
      </c>
      <c r="C17" t="str">
        <f t="shared" si="10"/>
        <v>RB</v>
      </c>
      <c r="D17">
        <f t="shared" si="11"/>
        <v>60</v>
      </c>
      <c r="E17">
        <f t="shared" si="12"/>
        <v>10</v>
      </c>
      <c r="F17">
        <f>IF(B17="","",IF(C17="QB",INDEX('Manager Profiles'!$T$5:$T$12,MATCH($B$5,'Manager Profiles'!$A$5:$A$12,0)),IF(C17="RB",INDEX('Manager Profiles'!$U$5:$U$12,MATCH($B$5,'Manager Profiles'!$A$5:$A$12,0)),IF(C17="WR",INDEX('Manager Profiles'!$V$5:$V$12,MATCH($B$5,'Manager Profiles'!$A$5:$A$12,0)),IF(C17="TE",INDEX('Manager Profiles'!$W$5:$W$12,MATCH($B$5,'Manager Profiles'!$A$5:$A$12,0)),0)))))</f>
        <v>9</v>
      </c>
      <c r="G17">
        <f>IF(B17="","",IF($B$6="Contender",IF(INDEX('Player Board'!$R$4:$R$163,MATCH(B17,'Player Board'!$B$4:$B$163,0))="Veteran",12,5),IF($B$6="Rebuilder",10,2)))</f>
        <v>2</v>
      </c>
      <c r="H17">
        <f t="shared" si="13"/>
        <v>-18</v>
      </c>
      <c r="I17">
        <f>IF(B17="","",IFERROR(IF(INDEX('Player Board'!$F$4:$F$163,MATCH(D17+1,'Player Board'!$H$4:$H$163,0))&gt;INDEX('Player Board'!$F$4:$F$163,MATCH(B17,'Player Board'!$B$4:$B$163,0)),8,0),0))</f>
        <v>8</v>
      </c>
      <c r="J17">
        <f t="shared" si="14"/>
        <v>220</v>
      </c>
      <c r="L17" t="str">
        <f>'Player Board'!B16</f>
        <v>Lamar Jackson</v>
      </c>
      <c r="M17" t="str">
        <f>'Player Board'!C16</f>
        <v>QB</v>
      </c>
      <c r="N17">
        <f>'Player Board'!H16</f>
        <v>11</v>
      </c>
      <c r="O17" t="str">
        <f>'Player Board'!Q16</f>
        <v/>
      </c>
      <c r="P17">
        <f>IF(NOT(AND('Player Board'!J16="No",'Player Board'!K16="No")),-9999,(325-N17*2)+((IF(M17="QB",INDEX('Manager Profiles'!$T$5:$T$12,MATCH($B$5,'Manager Profiles'!$A$5:$A$12,0)),IF(M17="RB",INDEX('Manager Profiles'!$U$5:$U$12,MATCH($B$5,'Manager Profiles'!$A$5:$A$12,0)),IF(M17="WR",INDEX('Manager Profiles'!$V$5:$V$12,MATCH($B$5,'Manager Profiles'!$A$5:$A$12,0)),IF(M17="TE",INDEX('Manager Profiles'!$W$5:$W$12,MATCH($B$5,'Manager Profiles'!$A$5:$A$12,0)),0)))))*3)+(IF($B$6="Contender",IF('Player Board'!R16="Veteran",12,IF('Player Board'!R16="Prime",7,IF('Player Board'!R16="Young",3,-4))),IF($B$6="Rebuilder",IF('Player Board'!R16="Rookie",15,IF('Player Board'!R16="Young",10,IF('Player Board'!R16="Prime",2,-15))),IF('Player Board'!R16="Veteran",-2,IF('Player Board'!R16="Rookie",4,2)))))+MAX(-20,MIN(20,($B$4-IF(O17="",N17,O17))*2))+(IFERROR(IF(INDEX('Player Board'!$F$4:$F$163,MATCH(N17+1,'Player Board'!$H$4:$H$163,0))&gt;'Player Board'!F16,8,0),0)))</f>
        <v>-9999</v>
      </c>
      <c r="Q17">
        <f t="shared" si="0"/>
        <v>-9998.9811000000009</v>
      </c>
      <c r="R17">
        <f>IF(AND('Draft Tracker'!D16="Noah",'Draft Tracker'!A16&gt;$B$4),'Draft Tracker'!A16,9999)</f>
        <v>13</v>
      </c>
      <c r="S17">
        <f>IF(M17="","",IF(M17="QB",INDEX('Manager Profiles'!$T$5:$T$12,MATCH("Noah",'Manager Profiles'!$A$5:$A$12,0)),IF(M17="RB",INDEX('Manager Profiles'!$U$5:$U$12,MATCH("Noah",'Manager Profiles'!$A$5:$A$12,0)),IF(M17="WR",INDEX('Manager Profiles'!$V$5:$V$12,MATCH("Noah",'Manager Profiles'!$A$5:$A$12,0)),IF(M17="TE",INDEX('Manager Profiles'!$W$5:$W$12,MATCH("Noah",'Manager Profiles'!$A$5:$A$12,0)),0)))))</f>
        <v>9</v>
      </c>
      <c r="T17">
        <f>IF(M17="","",IF(M17="QB",INDEX('Manager Profiles'!$T$5:$T$12,MATCH($B$5,'Manager Profiles'!$A$5:$A$12,0)),IF(M17="RB",INDEX('Manager Profiles'!$U$5:$U$12,MATCH($B$5,'Manager Profiles'!$A$5:$A$12,0)),IF(M17="WR",INDEX('Manager Profiles'!$V$5:$V$12,MATCH($B$5,'Manager Profiles'!$A$5:$A$12,0)),IF(M17="TE",INDEX('Manager Profiles'!$W$5:$W$12,MATCH($B$5,'Manager Profiles'!$A$5:$A$12,0)),0)))))</f>
        <v>2</v>
      </c>
      <c r="U17">
        <f t="shared" si="1"/>
        <v>7</v>
      </c>
      <c r="V17" t="str">
        <f t="shared" si="2"/>
        <v/>
      </c>
      <c r="W17">
        <f t="shared" ca="1" si="3"/>
        <v>-9999</v>
      </c>
      <c r="X17">
        <f ca="1">IF(M17="","",IFERROR(_xludf.MINIFS($N$5:$N$164,$M$5:$M$164,M17,$N$5:$N$164,"&gt;"&amp;N17,$P$5:$P$164,"&gt;-9999"),N17+20))</f>
        <v>31</v>
      </c>
      <c r="Y17">
        <f t="shared" ca="1" si="4"/>
        <v>20</v>
      </c>
      <c r="Z17" t="str">
        <f t="shared" si="5"/>
        <v/>
      </c>
      <c r="AA17" t="str">
        <f t="shared" si="6"/>
        <v>Yes</v>
      </c>
      <c r="AB17" t="str">
        <f t="shared" ca="1" si="7"/>
        <v>Yes</v>
      </c>
      <c r="AC17" t="str">
        <f t="shared" si="8"/>
        <v>Yes</v>
      </c>
      <c r="AD17" t="str">
        <f t="shared" ca="1" si="9"/>
        <v>Yes</v>
      </c>
    </row>
    <row r="18" spans="1:30">
      <c r="A18">
        <v>7</v>
      </c>
      <c r="B18" t="str">
        <f>IFERROR(INDEX($L$5:$L$164,MATCH(LARGE($Q$5:$Q$164,7),$Q$5:$Q$164,0)),"")</f>
        <v>Brock Purdy</v>
      </c>
      <c r="C18" t="str">
        <f t="shared" si="10"/>
        <v>QB</v>
      </c>
      <c r="D18">
        <f t="shared" si="11"/>
        <v>54</v>
      </c>
      <c r="E18">
        <f t="shared" si="12"/>
        <v>6</v>
      </c>
      <c r="F18">
        <f>IF(B18="","",IF(C18="QB",INDEX('Manager Profiles'!$T$5:$T$12,MATCH($B$5,'Manager Profiles'!$A$5:$A$12,0)),IF(C18="RB",INDEX('Manager Profiles'!$U$5:$U$12,MATCH($B$5,'Manager Profiles'!$A$5:$A$12,0)),IF(C18="WR",INDEX('Manager Profiles'!$V$5:$V$12,MATCH($B$5,'Manager Profiles'!$A$5:$A$12,0)),IF(C18="TE",INDEX('Manager Profiles'!$W$5:$W$12,MATCH($B$5,'Manager Profiles'!$A$5:$A$12,0)),0)))))</f>
        <v>2</v>
      </c>
      <c r="G18">
        <f>IF(B18="","",IF($B$6="Contender",IF(INDEX('Player Board'!$R$4:$R$163,MATCH(B18,'Player Board'!$B$4:$B$163,0))="Veteran",12,5),IF($B$6="Rebuilder",10,2)))</f>
        <v>2</v>
      </c>
      <c r="H18">
        <f t="shared" si="13"/>
        <v>-10</v>
      </c>
      <c r="I18">
        <f>IF(B18="","",IFERROR(IF(INDEX('Player Board'!$F$4:$F$163,MATCH(D18+1,'Player Board'!$H$4:$H$163,0))&gt;INDEX('Player Board'!$F$4:$F$163,MATCH(B18,'Player Board'!$B$4:$B$163,0)),8,0),0))</f>
        <v>0</v>
      </c>
      <c r="J18">
        <f t="shared" si="14"/>
        <v>215</v>
      </c>
      <c r="L18" t="str">
        <f>'Player Board'!B17</f>
        <v>Justin Jefferson</v>
      </c>
      <c r="M18" t="str">
        <f>'Player Board'!C17</f>
        <v>WR</v>
      </c>
      <c r="N18">
        <f>'Player Board'!H17</f>
        <v>18</v>
      </c>
      <c r="O18" t="str">
        <f>'Player Board'!Q17</f>
        <v/>
      </c>
      <c r="P18">
        <f>IF(NOT(AND('Player Board'!J17="No",'Player Board'!K17="No")),-9999,(325-N18*2)+((IF(M18="QB",INDEX('Manager Profiles'!$T$5:$T$12,MATCH($B$5,'Manager Profiles'!$A$5:$A$12,0)),IF(M18="RB",INDEX('Manager Profiles'!$U$5:$U$12,MATCH($B$5,'Manager Profiles'!$A$5:$A$12,0)),IF(M18="WR",INDEX('Manager Profiles'!$V$5:$V$12,MATCH($B$5,'Manager Profiles'!$A$5:$A$12,0)),IF(M18="TE",INDEX('Manager Profiles'!$W$5:$W$12,MATCH($B$5,'Manager Profiles'!$A$5:$A$12,0)),0)))))*3)+(IF($B$6="Contender",IF('Player Board'!R17="Veteran",12,IF('Player Board'!R17="Prime",7,IF('Player Board'!R17="Young",3,-4))),IF($B$6="Rebuilder",IF('Player Board'!R17="Rookie",15,IF('Player Board'!R17="Young",10,IF('Player Board'!R17="Prime",2,-15))),IF('Player Board'!R17="Veteran",-2,IF('Player Board'!R17="Rookie",4,2)))))+MAX(-20,MIN(20,($B$4-IF(O18="",N18,O18))*2))+(IFERROR(IF(INDEX('Player Board'!$F$4:$F$163,MATCH(N18+1,'Player Board'!$H$4:$H$163,0))&gt;'Player Board'!F17,8,0),0)))</f>
        <v>-9999</v>
      </c>
      <c r="Q18">
        <f t="shared" si="0"/>
        <v>-9998.9817999999996</v>
      </c>
      <c r="R18">
        <f>IF(AND('Draft Tracker'!D17="Noah",'Draft Tracker'!A17&gt;$B$4),'Draft Tracker'!A17,9999)</f>
        <v>9999</v>
      </c>
      <c r="S18">
        <f>IF(M18="","",IF(M18="QB",INDEX('Manager Profiles'!$T$5:$T$12,MATCH("Noah",'Manager Profiles'!$A$5:$A$12,0)),IF(M18="RB",INDEX('Manager Profiles'!$U$5:$U$12,MATCH("Noah",'Manager Profiles'!$A$5:$A$12,0)),IF(M18="WR",INDEX('Manager Profiles'!$V$5:$V$12,MATCH("Noah",'Manager Profiles'!$A$5:$A$12,0)),IF(M18="TE",INDEX('Manager Profiles'!$W$5:$W$12,MATCH("Noah",'Manager Profiles'!$A$5:$A$12,0)),0)))))</f>
        <v>1</v>
      </c>
      <c r="T18">
        <f>IF(M18="","",IF(M18="QB",INDEX('Manager Profiles'!$T$5:$T$12,MATCH($B$5,'Manager Profiles'!$A$5:$A$12,0)),IF(M18="RB",INDEX('Manager Profiles'!$U$5:$U$12,MATCH($B$5,'Manager Profiles'!$A$5:$A$12,0)),IF(M18="WR",INDEX('Manager Profiles'!$V$5:$V$12,MATCH($B$5,'Manager Profiles'!$A$5:$A$12,0)),IF(M18="TE",INDEX('Manager Profiles'!$W$5:$W$12,MATCH($B$5,'Manager Profiles'!$A$5:$A$12,0)),0)))))</f>
        <v>3</v>
      </c>
      <c r="U18">
        <f t="shared" si="1"/>
        <v>-2</v>
      </c>
      <c r="V18" t="str">
        <f t="shared" si="2"/>
        <v/>
      </c>
      <c r="W18">
        <f t="shared" ca="1" si="3"/>
        <v>-9999</v>
      </c>
      <c r="X18">
        <f ca="1">IF(M18="","",IFERROR(_xludf.MINIFS($N$5:$N$164,$M$5:$M$164,M18,$N$5:$N$164,"&gt;"&amp;N18,$P$5:$P$164,"&gt;-9999"),N18+20))</f>
        <v>38</v>
      </c>
      <c r="Y18">
        <f t="shared" ca="1" si="4"/>
        <v>20</v>
      </c>
      <c r="Z18" t="str">
        <f t="shared" si="5"/>
        <v/>
      </c>
      <c r="AA18" t="str">
        <f t="shared" si="6"/>
        <v>No</v>
      </c>
      <c r="AB18" t="str">
        <f t="shared" ca="1" si="7"/>
        <v>Yes</v>
      </c>
      <c r="AC18" t="str">
        <f t="shared" si="8"/>
        <v>Yes</v>
      </c>
      <c r="AD18" t="str">
        <f t="shared" ca="1" si="9"/>
        <v>No</v>
      </c>
    </row>
    <row r="19" spans="1:30">
      <c r="A19">
        <v>8</v>
      </c>
      <c r="B19" t="str">
        <f>IFERROR(INDEX($L$5:$L$164,MATCH(LARGE($Q$5:$Q$164,8),$Q$5:$Q$164,0)),"")</f>
        <v>Tee Higgins</v>
      </c>
      <c r="C19" t="str">
        <f t="shared" si="10"/>
        <v>WR</v>
      </c>
      <c r="D19">
        <f t="shared" si="11"/>
        <v>55</v>
      </c>
      <c r="E19">
        <f t="shared" si="12"/>
        <v>7</v>
      </c>
      <c r="F19">
        <f>IF(B19="","",IF(C19="QB",INDEX('Manager Profiles'!$T$5:$T$12,MATCH($B$5,'Manager Profiles'!$A$5:$A$12,0)),IF(C19="RB",INDEX('Manager Profiles'!$U$5:$U$12,MATCH($B$5,'Manager Profiles'!$A$5:$A$12,0)),IF(C19="WR",INDEX('Manager Profiles'!$V$5:$V$12,MATCH($B$5,'Manager Profiles'!$A$5:$A$12,0)),IF(C19="TE",INDEX('Manager Profiles'!$W$5:$W$12,MATCH($B$5,'Manager Profiles'!$A$5:$A$12,0)),0)))))</f>
        <v>3</v>
      </c>
      <c r="G19">
        <f>IF(B19="","",IF($B$6="Contender",IF(INDEX('Player Board'!$R$4:$R$163,MATCH(B19,'Player Board'!$B$4:$B$163,0))="Veteran",12,5),IF($B$6="Rebuilder",10,2)))</f>
        <v>2</v>
      </c>
      <c r="H19">
        <f t="shared" si="13"/>
        <v>-12</v>
      </c>
      <c r="I19">
        <f>IF(B19="","",IFERROR(IF(INDEX('Player Board'!$F$4:$F$163,MATCH(D19+1,'Player Board'!$H$4:$H$163,0))&gt;INDEX('Player Board'!$F$4:$F$163,MATCH(B19,'Player Board'!$B$4:$B$163,0)),8,0),0))</f>
        <v>0</v>
      </c>
      <c r="J19">
        <f t="shared" si="14"/>
        <v>214</v>
      </c>
      <c r="L19" t="str">
        <f>'Player Board'!B18</f>
        <v>Jeremiyah Love</v>
      </c>
      <c r="M19" t="str">
        <f>'Player Board'!C18</f>
        <v>RB</v>
      </c>
      <c r="N19">
        <f>'Player Board'!H18</f>
        <v>24</v>
      </c>
      <c r="O19">
        <f>'Player Board'!Q18</f>
        <v>1</v>
      </c>
      <c r="P19">
        <f>IF(NOT(AND('Player Board'!J18="No",'Player Board'!K18="No")),-9999,(325-N19*2)+((IF(M19="QB",INDEX('Manager Profiles'!$T$5:$T$12,MATCH($B$5,'Manager Profiles'!$A$5:$A$12,0)),IF(M19="RB",INDEX('Manager Profiles'!$U$5:$U$12,MATCH($B$5,'Manager Profiles'!$A$5:$A$12,0)),IF(M19="WR",INDEX('Manager Profiles'!$V$5:$V$12,MATCH($B$5,'Manager Profiles'!$A$5:$A$12,0)),IF(M19="TE",INDEX('Manager Profiles'!$W$5:$W$12,MATCH($B$5,'Manager Profiles'!$A$5:$A$12,0)),0)))))*3)+(IF($B$6="Contender",IF('Player Board'!R18="Veteran",12,IF('Player Board'!R18="Prime",7,IF('Player Board'!R18="Young",3,-4))),IF($B$6="Rebuilder",IF('Player Board'!R18="Rookie",15,IF('Player Board'!R18="Young",10,IF('Player Board'!R18="Prime",2,-15))),IF('Player Board'!R18="Veteran",-2,IF('Player Board'!R18="Rookie",4,2)))))+MAX(-20,MIN(20,($B$4-IF(O19="",N19,O19))*2))+(IFERROR(IF(INDEX('Player Board'!$F$4:$F$163,MATCH(N19+1,'Player Board'!$H$4:$H$163,0))&gt;'Player Board'!F18,8,0),0)))</f>
        <v>308</v>
      </c>
      <c r="Q19">
        <f t="shared" si="0"/>
        <v>308.01760000000002</v>
      </c>
      <c r="R19">
        <f>IF(AND('Draft Tracker'!D18="Noah",'Draft Tracker'!A18&gt;$B$4),'Draft Tracker'!A18,9999)</f>
        <v>9999</v>
      </c>
      <c r="S19">
        <f>IF(M19="","",IF(M19="QB",INDEX('Manager Profiles'!$T$5:$T$12,MATCH("Noah",'Manager Profiles'!$A$5:$A$12,0)),IF(M19="RB",INDEX('Manager Profiles'!$U$5:$U$12,MATCH("Noah",'Manager Profiles'!$A$5:$A$12,0)),IF(M19="WR",INDEX('Manager Profiles'!$V$5:$V$12,MATCH("Noah",'Manager Profiles'!$A$5:$A$12,0)),IF(M19="TE",INDEX('Manager Profiles'!$W$5:$W$12,MATCH("Noah",'Manager Profiles'!$A$5:$A$12,0)),0)))))</f>
        <v>4</v>
      </c>
      <c r="T19">
        <f>IF(M19="","",IF(M19="QB",INDEX('Manager Profiles'!$T$5:$T$12,MATCH($B$5,'Manager Profiles'!$A$5:$A$12,0)),IF(M19="RB",INDEX('Manager Profiles'!$U$5:$U$12,MATCH($B$5,'Manager Profiles'!$A$5:$A$12,0)),IF(M19="WR",INDEX('Manager Profiles'!$V$5:$V$12,MATCH($B$5,'Manager Profiles'!$A$5:$A$12,0)),IF(M19="TE",INDEX('Manager Profiles'!$W$5:$W$12,MATCH($B$5,'Manager Profiles'!$A$5:$A$12,0)),0)))))</f>
        <v>9</v>
      </c>
      <c r="U19">
        <f t="shared" si="1"/>
        <v>-5</v>
      </c>
      <c r="V19">
        <f t="shared" si="2"/>
        <v>12</v>
      </c>
      <c r="W19">
        <f t="shared" ca="1" si="3"/>
        <v>-9999</v>
      </c>
      <c r="X19">
        <f ca="1">IF(M19="","",IFERROR(_xludf.MINIFS($N$5:$N$164,$M$5:$M$164,M19,$N$5:$N$164,"&gt;"&amp;N19,$P$5:$P$164,"&gt;-9999"),N19+20))</f>
        <v>44</v>
      </c>
      <c r="Y19">
        <f t="shared" ca="1" si="4"/>
        <v>20</v>
      </c>
      <c r="Z19">
        <f t="shared" si="5"/>
        <v>0</v>
      </c>
      <c r="AA19" t="str">
        <f t="shared" si="6"/>
        <v>Yes</v>
      </c>
      <c r="AB19" t="str">
        <f t="shared" ca="1" si="7"/>
        <v>Yes</v>
      </c>
      <c r="AC19" t="str">
        <f t="shared" si="8"/>
        <v>No</v>
      </c>
      <c r="AD19" t="str">
        <f t="shared" ca="1" si="9"/>
        <v>No</v>
      </c>
    </row>
    <row r="20" spans="1:30">
      <c r="A20">
        <v>9</v>
      </c>
      <c r="B20" t="str">
        <f>IFERROR(INDEX($L$5:$L$164,MATCH(LARGE($Q$5:$Q$164,9),$Q$5:$Q$164,0)),"")</f>
        <v>Brian Thomas Jr.</v>
      </c>
      <c r="C20" t="str">
        <f t="shared" si="10"/>
        <v>WR</v>
      </c>
      <c r="D20">
        <f t="shared" si="11"/>
        <v>58</v>
      </c>
      <c r="E20">
        <f t="shared" si="12"/>
        <v>8</v>
      </c>
      <c r="F20">
        <f>IF(B20="","",IF(C20="QB",INDEX('Manager Profiles'!$T$5:$T$12,MATCH($B$5,'Manager Profiles'!$A$5:$A$12,0)),IF(C20="RB",INDEX('Manager Profiles'!$U$5:$U$12,MATCH($B$5,'Manager Profiles'!$A$5:$A$12,0)),IF(C20="WR",INDEX('Manager Profiles'!$V$5:$V$12,MATCH($B$5,'Manager Profiles'!$A$5:$A$12,0)),IF(C20="TE",INDEX('Manager Profiles'!$W$5:$W$12,MATCH($B$5,'Manager Profiles'!$A$5:$A$12,0)),0)))))</f>
        <v>3</v>
      </c>
      <c r="G20">
        <f>IF(B20="","",IF($B$6="Contender",IF(INDEX('Player Board'!$R$4:$R$163,MATCH(B20,'Player Board'!$B$4:$B$163,0))="Veteran",12,5),IF($B$6="Rebuilder",10,2)))</f>
        <v>2</v>
      </c>
      <c r="H20">
        <f t="shared" si="13"/>
        <v>-14</v>
      </c>
      <c r="I20">
        <f>IF(B20="","",IFERROR(IF(INDEX('Player Board'!$F$4:$F$163,MATCH(D20+1,'Player Board'!$H$4:$H$163,0))&gt;INDEX('Player Board'!$F$4:$F$163,MATCH(B20,'Player Board'!$B$4:$B$163,0)),8,0),0))</f>
        <v>0</v>
      </c>
      <c r="J20">
        <f t="shared" si="14"/>
        <v>206</v>
      </c>
      <c r="L20" t="str">
        <f>'Player Board'!B19</f>
        <v>Joe Burrow</v>
      </c>
      <c r="M20" t="str">
        <f>'Player Board'!C19</f>
        <v>QB</v>
      </c>
      <c r="N20">
        <f>'Player Board'!H19</f>
        <v>10</v>
      </c>
      <c r="O20" t="str">
        <f>'Player Board'!Q19</f>
        <v/>
      </c>
      <c r="P20">
        <f>IF(NOT(AND('Player Board'!J19="No",'Player Board'!K19="No")),-9999,(325-N20*2)+((IF(M20="QB",INDEX('Manager Profiles'!$T$5:$T$12,MATCH($B$5,'Manager Profiles'!$A$5:$A$12,0)),IF(M20="RB",INDEX('Manager Profiles'!$U$5:$U$12,MATCH($B$5,'Manager Profiles'!$A$5:$A$12,0)),IF(M20="WR",INDEX('Manager Profiles'!$V$5:$V$12,MATCH($B$5,'Manager Profiles'!$A$5:$A$12,0)),IF(M20="TE",INDEX('Manager Profiles'!$W$5:$W$12,MATCH($B$5,'Manager Profiles'!$A$5:$A$12,0)),0)))))*3)+(IF($B$6="Contender",IF('Player Board'!R19="Veteran",12,IF('Player Board'!R19="Prime",7,IF('Player Board'!R19="Young",3,-4))),IF($B$6="Rebuilder",IF('Player Board'!R19="Rookie",15,IF('Player Board'!R19="Young",10,IF('Player Board'!R19="Prime",2,-15))),IF('Player Board'!R19="Veteran",-2,IF('Player Board'!R19="Rookie",4,2)))))+MAX(-20,MIN(20,($B$4-IF(O20="",N20,O20))*2))+(IFERROR(IF(INDEX('Player Board'!$F$4:$F$163,MATCH(N20+1,'Player Board'!$H$4:$H$163,0))&gt;'Player Board'!F19,8,0),0)))</f>
        <v>-9999</v>
      </c>
      <c r="Q20">
        <f t="shared" si="0"/>
        <v>-9998.9809999999998</v>
      </c>
      <c r="R20">
        <f>IF(AND('Draft Tracker'!D19="Noah",'Draft Tracker'!A19&gt;$B$4),'Draft Tracker'!A19,9999)</f>
        <v>9999</v>
      </c>
      <c r="S20">
        <f>IF(M20="","",IF(M20="QB",INDEX('Manager Profiles'!$T$5:$T$12,MATCH("Noah",'Manager Profiles'!$A$5:$A$12,0)),IF(M20="RB",INDEX('Manager Profiles'!$U$5:$U$12,MATCH("Noah",'Manager Profiles'!$A$5:$A$12,0)),IF(M20="WR",INDEX('Manager Profiles'!$V$5:$V$12,MATCH("Noah",'Manager Profiles'!$A$5:$A$12,0)),IF(M20="TE",INDEX('Manager Profiles'!$W$5:$W$12,MATCH("Noah",'Manager Profiles'!$A$5:$A$12,0)),0)))))</f>
        <v>9</v>
      </c>
      <c r="T20">
        <f>IF(M20="","",IF(M20="QB",INDEX('Manager Profiles'!$T$5:$T$12,MATCH($B$5,'Manager Profiles'!$A$5:$A$12,0)),IF(M20="RB",INDEX('Manager Profiles'!$U$5:$U$12,MATCH($B$5,'Manager Profiles'!$A$5:$A$12,0)),IF(M20="WR",INDEX('Manager Profiles'!$V$5:$V$12,MATCH($B$5,'Manager Profiles'!$A$5:$A$12,0)),IF(M20="TE",INDEX('Manager Profiles'!$W$5:$W$12,MATCH($B$5,'Manager Profiles'!$A$5:$A$12,0)),0)))))</f>
        <v>2</v>
      </c>
      <c r="U20">
        <f t="shared" si="1"/>
        <v>7</v>
      </c>
      <c r="V20" t="str">
        <f t="shared" si="2"/>
        <v/>
      </c>
      <c r="W20">
        <f t="shared" ca="1" si="3"/>
        <v>-9999</v>
      </c>
      <c r="X20">
        <f ca="1">IF(M20="","",IFERROR(_xludf.MINIFS($N$5:$N$164,$M$5:$M$164,M20,$N$5:$N$164,"&gt;"&amp;N20,$P$5:$P$164,"&gt;-9999"),N20+20))</f>
        <v>30</v>
      </c>
      <c r="Y20">
        <f t="shared" ca="1" si="4"/>
        <v>20</v>
      </c>
      <c r="Z20" t="str">
        <f t="shared" si="5"/>
        <v/>
      </c>
      <c r="AA20" t="str">
        <f t="shared" si="6"/>
        <v>Yes</v>
      </c>
      <c r="AB20" t="str">
        <f t="shared" ca="1" si="7"/>
        <v>Yes</v>
      </c>
      <c r="AC20" t="str">
        <f t="shared" si="8"/>
        <v>Yes</v>
      </c>
      <c r="AD20" t="str">
        <f t="shared" ca="1" si="9"/>
        <v>Yes</v>
      </c>
    </row>
    <row r="21" spans="1:30">
      <c r="A21">
        <v>10</v>
      </c>
      <c r="B21" t="str">
        <f>IFERROR(INDEX($L$5:$L$164,MATCH(LARGE($Q$5:$Q$164,10),$Q$5:$Q$164,0)),"")</f>
        <v>Rome Odunze</v>
      </c>
      <c r="C21" t="str">
        <f t="shared" si="10"/>
        <v>WR</v>
      </c>
      <c r="D21">
        <f t="shared" si="11"/>
        <v>59</v>
      </c>
      <c r="E21">
        <f t="shared" si="12"/>
        <v>9</v>
      </c>
      <c r="F21">
        <f>IF(B21="","",IF(C21="QB",INDEX('Manager Profiles'!$T$5:$T$12,MATCH($B$5,'Manager Profiles'!$A$5:$A$12,0)),IF(C21="RB",INDEX('Manager Profiles'!$U$5:$U$12,MATCH($B$5,'Manager Profiles'!$A$5:$A$12,0)),IF(C21="WR",INDEX('Manager Profiles'!$V$5:$V$12,MATCH($B$5,'Manager Profiles'!$A$5:$A$12,0)),IF(C21="TE",INDEX('Manager Profiles'!$W$5:$W$12,MATCH($B$5,'Manager Profiles'!$A$5:$A$12,0)),0)))))</f>
        <v>3</v>
      </c>
      <c r="G21">
        <f>IF(B21="","",IF($B$6="Contender",IF(INDEX('Player Board'!$R$4:$R$163,MATCH(B21,'Player Board'!$B$4:$B$163,0))="Veteran",12,5),IF($B$6="Rebuilder",10,2)))</f>
        <v>2</v>
      </c>
      <c r="H21">
        <f t="shared" si="13"/>
        <v>-16</v>
      </c>
      <c r="I21">
        <f>IF(B21="","",IFERROR(IF(INDEX('Player Board'!$F$4:$F$163,MATCH(D21+1,'Player Board'!$H$4:$H$163,0))&gt;INDEX('Player Board'!$F$4:$F$163,MATCH(B21,'Player Board'!$B$4:$B$163,0)),8,0),0))</f>
        <v>0</v>
      </c>
      <c r="J21">
        <f t="shared" si="14"/>
        <v>202</v>
      </c>
      <c r="L21" t="str">
        <f>'Player Board'!B20</f>
        <v>Trey McBride</v>
      </c>
      <c r="M21" t="str">
        <f>'Player Board'!C20</f>
        <v>TE</v>
      </c>
      <c r="N21">
        <f>'Player Board'!H20</f>
        <v>21</v>
      </c>
      <c r="O21" t="str">
        <f>'Player Board'!Q20</f>
        <v/>
      </c>
      <c r="P21">
        <f>IF(NOT(AND('Player Board'!J20="No",'Player Board'!K20="No")),-9999,(325-N21*2)+((IF(M21="QB",INDEX('Manager Profiles'!$T$5:$T$12,MATCH($B$5,'Manager Profiles'!$A$5:$A$12,0)),IF(M21="RB",INDEX('Manager Profiles'!$U$5:$U$12,MATCH($B$5,'Manager Profiles'!$A$5:$A$12,0)),IF(M21="WR",INDEX('Manager Profiles'!$V$5:$V$12,MATCH($B$5,'Manager Profiles'!$A$5:$A$12,0)),IF(M21="TE",INDEX('Manager Profiles'!$W$5:$W$12,MATCH($B$5,'Manager Profiles'!$A$5:$A$12,0)),0)))))*3)+(IF($B$6="Contender",IF('Player Board'!R20="Veteran",12,IF('Player Board'!R20="Prime",7,IF('Player Board'!R20="Young",3,-4))),IF($B$6="Rebuilder",IF('Player Board'!R20="Rookie",15,IF('Player Board'!R20="Young",10,IF('Player Board'!R20="Prime",2,-15))),IF('Player Board'!R20="Veteran",-2,IF('Player Board'!R20="Rookie",4,2)))))+MAX(-20,MIN(20,($B$4-IF(O21="",N21,O21))*2))+(IFERROR(IF(INDEX('Player Board'!$F$4:$F$163,MATCH(N21+1,'Player Board'!$H$4:$H$163,0))&gt;'Player Board'!F20,8,0),0)))</f>
        <v>-9999</v>
      </c>
      <c r="Q21">
        <f t="shared" si="0"/>
        <v>-9998.9820999999993</v>
      </c>
      <c r="R21">
        <f>IF(AND('Draft Tracker'!D20="Noah",'Draft Tracker'!A20&gt;$B$4),'Draft Tracker'!A20,9999)</f>
        <v>9999</v>
      </c>
      <c r="S21">
        <f>IF(M21="","",IF(M21="QB",INDEX('Manager Profiles'!$T$5:$T$12,MATCH("Noah",'Manager Profiles'!$A$5:$A$12,0)),IF(M21="RB",INDEX('Manager Profiles'!$U$5:$U$12,MATCH("Noah",'Manager Profiles'!$A$5:$A$12,0)),IF(M21="WR",INDEX('Manager Profiles'!$V$5:$V$12,MATCH("Noah",'Manager Profiles'!$A$5:$A$12,0)),IF(M21="TE",INDEX('Manager Profiles'!$W$5:$W$12,MATCH("Noah",'Manager Profiles'!$A$5:$A$12,0)),0)))))</f>
        <v>7</v>
      </c>
      <c r="T21">
        <f>IF(M21="","",IF(M21="QB",INDEX('Manager Profiles'!$T$5:$T$12,MATCH($B$5,'Manager Profiles'!$A$5:$A$12,0)),IF(M21="RB",INDEX('Manager Profiles'!$U$5:$U$12,MATCH($B$5,'Manager Profiles'!$A$5:$A$12,0)),IF(M21="WR",INDEX('Manager Profiles'!$V$5:$V$12,MATCH($B$5,'Manager Profiles'!$A$5:$A$12,0)),IF(M21="TE",INDEX('Manager Profiles'!$W$5:$W$12,MATCH($B$5,'Manager Profiles'!$A$5:$A$12,0)),0)))))</f>
        <v>3</v>
      </c>
      <c r="U21">
        <f t="shared" si="1"/>
        <v>4</v>
      </c>
      <c r="V21" t="str">
        <f t="shared" si="2"/>
        <v/>
      </c>
      <c r="W21">
        <f t="shared" ca="1" si="3"/>
        <v>-9999</v>
      </c>
      <c r="X21">
        <f ca="1">IF(M21="","",IFERROR(_xludf.MINIFS($N$5:$N$164,$M$5:$M$164,M21,$N$5:$N$164,"&gt;"&amp;N21,$P$5:$P$164,"&gt;-9999"),N21+20))</f>
        <v>41</v>
      </c>
      <c r="Y21">
        <f t="shared" ca="1" si="4"/>
        <v>20</v>
      </c>
      <c r="Z21" t="str">
        <f t="shared" si="5"/>
        <v/>
      </c>
      <c r="AA21" t="str">
        <f t="shared" si="6"/>
        <v>Yes</v>
      </c>
      <c r="AB21" t="str">
        <f t="shared" ca="1" si="7"/>
        <v>Yes</v>
      </c>
      <c r="AC21" t="str">
        <f t="shared" si="8"/>
        <v>Yes</v>
      </c>
      <c r="AD21" t="str">
        <f t="shared" ca="1" si="9"/>
        <v>Yes</v>
      </c>
    </row>
    <row r="22" spans="1:30">
      <c r="L22" t="str">
        <f>'Player Board'!B21</f>
        <v>Malik Nabers</v>
      </c>
      <c r="M22" t="str">
        <f>'Player Board'!C21</f>
        <v>WR</v>
      </c>
      <c r="N22">
        <f>'Player Board'!H21</f>
        <v>17</v>
      </c>
      <c r="O22" t="str">
        <f>'Player Board'!Q21</f>
        <v/>
      </c>
      <c r="P22">
        <f>IF(NOT(AND('Player Board'!J21="No",'Player Board'!K21="No")),-9999,(325-N22*2)+((IF(M22="QB",INDEX('Manager Profiles'!$T$5:$T$12,MATCH($B$5,'Manager Profiles'!$A$5:$A$12,0)),IF(M22="RB",INDEX('Manager Profiles'!$U$5:$U$12,MATCH($B$5,'Manager Profiles'!$A$5:$A$12,0)),IF(M22="WR",INDEX('Manager Profiles'!$V$5:$V$12,MATCH($B$5,'Manager Profiles'!$A$5:$A$12,0)),IF(M22="TE",INDEX('Manager Profiles'!$W$5:$W$12,MATCH($B$5,'Manager Profiles'!$A$5:$A$12,0)),0)))))*3)+(IF($B$6="Contender",IF('Player Board'!R21="Veteran",12,IF('Player Board'!R21="Prime",7,IF('Player Board'!R21="Young",3,-4))),IF($B$6="Rebuilder",IF('Player Board'!R21="Rookie",15,IF('Player Board'!R21="Young",10,IF('Player Board'!R21="Prime",2,-15))),IF('Player Board'!R21="Veteran",-2,IF('Player Board'!R21="Rookie",4,2)))))+MAX(-20,MIN(20,($B$4-IF(O22="",N22,O22))*2))+(IFERROR(IF(INDEX('Player Board'!$F$4:$F$163,MATCH(N22+1,'Player Board'!$H$4:$H$163,0))&gt;'Player Board'!F21,8,0),0)))</f>
        <v>-9999</v>
      </c>
      <c r="Q22">
        <f t="shared" si="0"/>
        <v>-9998.9817000000003</v>
      </c>
      <c r="R22">
        <f>IF(AND('Draft Tracker'!D21="Noah",'Draft Tracker'!A21&gt;$B$4),'Draft Tracker'!A21,9999)</f>
        <v>9999</v>
      </c>
      <c r="S22">
        <f>IF(M22="","",IF(M22="QB",INDEX('Manager Profiles'!$T$5:$T$12,MATCH("Noah",'Manager Profiles'!$A$5:$A$12,0)),IF(M22="RB",INDEX('Manager Profiles'!$U$5:$U$12,MATCH("Noah",'Manager Profiles'!$A$5:$A$12,0)),IF(M22="WR",INDEX('Manager Profiles'!$V$5:$V$12,MATCH("Noah",'Manager Profiles'!$A$5:$A$12,0)),IF(M22="TE",INDEX('Manager Profiles'!$W$5:$W$12,MATCH("Noah",'Manager Profiles'!$A$5:$A$12,0)),0)))))</f>
        <v>1</v>
      </c>
      <c r="T22">
        <f>IF(M22="","",IF(M22="QB",INDEX('Manager Profiles'!$T$5:$T$12,MATCH($B$5,'Manager Profiles'!$A$5:$A$12,0)),IF(M22="RB",INDEX('Manager Profiles'!$U$5:$U$12,MATCH($B$5,'Manager Profiles'!$A$5:$A$12,0)),IF(M22="WR",INDEX('Manager Profiles'!$V$5:$V$12,MATCH($B$5,'Manager Profiles'!$A$5:$A$12,0)),IF(M22="TE",INDEX('Manager Profiles'!$W$5:$W$12,MATCH($B$5,'Manager Profiles'!$A$5:$A$12,0)),0)))))</f>
        <v>3</v>
      </c>
      <c r="U22">
        <f t="shared" si="1"/>
        <v>-2</v>
      </c>
      <c r="V22" t="str">
        <f t="shared" si="2"/>
        <v/>
      </c>
      <c r="W22">
        <f t="shared" ca="1" si="3"/>
        <v>-9999</v>
      </c>
      <c r="X22">
        <f ca="1">IF(M22="","",IFERROR(_xludf.MINIFS($N$5:$N$164,$M$5:$M$164,M22,$N$5:$N$164,"&gt;"&amp;N22,$P$5:$P$164,"&gt;-9999"),N22+20))</f>
        <v>37</v>
      </c>
      <c r="Y22">
        <f t="shared" ca="1" si="4"/>
        <v>20</v>
      </c>
      <c r="Z22" t="str">
        <f t="shared" si="5"/>
        <v/>
      </c>
      <c r="AA22" t="str">
        <f t="shared" si="6"/>
        <v>No</v>
      </c>
      <c r="AB22" t="str">
        <f t="shared" ca="1" si="7"/>
        <v>Yes</v>
      </c>
      <c r="AC22" t="str">
        <f t="shared" si="8"/>
        <v>Yes</v>
      </c>
      <c r="AD22" t="str">
        <f t="shared" ca="1" si="9"/>
        <v>No</v>
      </c>
    </row>
    <row r="23" spans="1:30">
      <c r="L23" t="str">
        <f>'Player Board'!B22</f>
        <v>CeeDee Lamb</v>
      </c>
      <c r="M23" t="str">
        <f>'Player Board'!C22</f>
        <v>WR</v>
      </c>
      <c r="N23">
        <f>'Player Board'!H22</f>
        <v>9</v>
      </c>
      <c r="O23" t="str">
        <f>'Player Board'!Q22</f>
        <v/>
      </c>
      <c r="P23">
        <f>IF(NOT(AND('Player Board'!J22="No",'Player Board'!K22="No")),-9999,(325-N23*2)+((IF(M23="QB",INDEX('Manager Profiles'!$T$5:$T$12,MATCH($B$5,'Manager Profiles'!$A$5:$A$12,0)),IF(M23="RB",INDEX('Manager Profiles'!$U$5:$U$12,MATCH($B$5,'Manager Profiles'!$A$5:$A$12,0)),IF(M23="WR",INDEX('Manager Profiles'!$V$5:$V$12,MATCH($B$5,'Manager Profiles'!$A$5:$A$12,0)),IF(M23="TE",INDEX('Manager Profiles'!$W$5:$W$12,MATCH($B$5,'Manager Profiles'!$A$5:$A$12,0)),0)))))*3)+(IF($B$6="Contender",IF('Player Board'!R22="Veteran",12,IF('Player Board'!R22="Prime",7,IF('Player Board'!R22="Young",3,-4))),IF($B$6="Rebuilder",IF('Player Board'!R22="Rookie",15,IF('Player Board'!R22="Young",10,IF('Player Board'!R22="Prime",2,-15))),IF('Player Board'!R22="Veteran",-2,IF('Player Board'!R22="Rookie",4,2)))))+MAX(-20,MIN(20,($B$4-IF(O23="",N23,O23))*2))+(IFERROR(IF(INDEX('Player Board'!$F$4:$F$163,MATCH(N23+1,'Player Board'!$H$4:$H$163,0))&gt;'Player Board'!F22,8,0),0)))</f>
        <v>-9999</v>
      </c>
      <c r="Q23">
        <f t="shared" si="0"/>
        <v>-9998.9809000000005</v>
      </c>
      <c r="R23">
        <f>IF(AND('Draft Tracker'!D22="Noah",'Draft Tracker'!A22&gt;$B$4),'Draft Tracker'!A22,9999)</f>
        <v>19</v>
      </c>
      <c r="S23">
        <f>IF(M23="","",IF(M23="QB",INDEX('Manager Profiles'!$T$5:$T$12,MATCH("Noah",'Manager Profiles'!$A$5:$A$12,0)),IF(M23="RB",INDEX('Manager Profiles'!$U$5:$U$12,MATCH("Noah",'Manager Profiles'!$A$5:$A$12,0)),IF(M23="WR",INDEX('Manager Profiles'!$V$5:$V$12,MATCH("Noah",'Manager Profiles'!$A$5:$A$12,0)),IF(M23="TE",INDEX('Manager Profiles'!$W$5:$W$12,MATCH("Noah",'Manager Profiles'!$A$5:$A$12,0)),0)))))</f>
        <v>1</v>
      </c>
      <c r="T23">
        <f>IF(M23="","",IF(M23="QB",INDEX('Manager Profiles'!$T$5:$T$12,MATCH($B$5,'Manager Profiles'!$A$5:$A$12,0)),IF(M23="RB",INDEX('Manager Profiles'!$U$5:$U$12,MATCH($B$5,'Manager Profiles'!$A$5:$A$12,0)),IF(M23="WR",INDEX('Manager Profiles'!$V$5:$V$12,MATCH($B$5,'Manager Profiles'!$A$5:$A$12,0)),IF(M23="TE",INDEX('Manager Profiles'!$W$5:$W$12,MATCH($B$5,'Manager Profiles'!$A$5:$A$12,0)),0)))))</f>
        <v>3</v>
      </c>
      <c r="U23">
        <f t="shared" si="1"/>
        <v>-2</v>
      </c>
      <c r="V23" t="str">
        <f t="shared" si="2"/>
        <v/>
      </c>
      <c r="W23">
        <f t="shared" ca="1" si="3"/>
        <v>-9999</v>
      </c>
      <c r="X23">
        <f ca="1">IF(M23="","",IFERROR(_xludf.MINIFS($N$5:$N$164,$M$5:$M$164,M23,$N$5:$N$164,"&gt;"&amp;N23,$P$5:$P$164,"&gt;-9999"),N23+20))</f>
        <v>29</v>
      </c>
      <c r="Y23">
        <f t="shared" ca="1" si="4"/>
        <v>20</v>
      </c>
      <c r="Z23" t="str">
        <f t="shared" si="5"/>
        <v/>
      </c>
      <c r="AA23" t="str">
        <f t="shared" si="6"/>
        <v>No</v>
      </c>
      <c r="AB23" t="str">
        <f t="shared" ca="1" si="7"/>
        <v>Yes</v>
      </c>
      <c r="AC23" t="str">
        <f t="shared" si="8"/>
        <v>Yes</v>
      </c>
      <c r="AD23" t="str">
        <f t="shared" ca="1" si="9"/>
        <v>No</v>
      </c>
    </row>
    <row r="24" spans="1:30">
      <c r="L24" t="str">
        <f>'Player Board'!B23</f>
        <v>Justin Herbert</v>
      </c>
      <c r="M24" t="str">
        <f>'Player Board'!C23</f>
        <v>QB</v>
      </c>
      <c r="N24">
        <f>'Player Board'!H23</f>
        <v>20</v>
      </c>
      <c r="O24" t="str">
        <f>'Player Board'!Q23</f>
        <v/>
      </c>
      <c r="P24">
        <f>IF(NOT(AND('Player Board'!J23="No",'Player Board'!K23="No")),-9999,(325-N24*2)+((IF(M24="QB",INDEX('Manager Profiles'!$T$5:$T$12,MATCH($B$5,'Manager Profiles'!$A$5:$A$12,0)),IF(M24="RB",INDEX('Manager Profiles'!$U$5:$U$12,MATCH($B$5,'Manager Profiles'!$A$5:$A$12,0)),IF(M24="WR",INDEX('Manager Profiles'!$V$5:$V$12,MATCH($B$5,'Manager Profiles'!$A$5:$A$12,0)),IF(M24="TE",INDEX('Manager Profiles'!$W$5:$W$12,MATCH($B$5,'Manager Profiles'!$A$5:$A$12,0)),0)))))*3)+(IF($B$6="Contender",IF('Player Board'!R23="Veteran",12,IF('Player Board'!R23="Prime",7,IF('Player Board'!R23="Young",3,-4))),IF($B$6="Rebuilder",IF('Player Board'!R23="Rookie",15,IF('Player Board'!R23="Young",10,IF('Player Board'!R23="Prime",2,-15))),IF('Player Board'!R23="Veteran",-2,IF('Player Board'!R23="Rookie",4,2)))))+MAX(-20,MIN(20,($B$4-IF(O24="",N24,O24))*2))+(IFERROR(IF(INDEX('Player Board'!$F$4:$F$163,MATCH(N24+1,'Player Board'!$H$4:$H$163,0))&gt;'Player Board'!F23,8,0),0)))</f>
        <v>-9999</v>
      </c>
      <c r="Q24">
        <f t="shared" si="0"/>
        <v>-9998.982</v>
      </c>
      <c r="R24">
        <f>IF(AND('Draft Tracker'!D23="Noah",'Draft Tracker'!A23&gt;$B$4),'Draft Tracker'!A23,9999)</f>
        <v>9999</v>
      </c>
      <c r="S24">
        <f>IF(M24="","",IF(M24="QB",INDEX('Manager Profiles'!$T$5:$T$12,MATCH("Noah",'Manager Profiles'!$A$5:$A$12,0)),IF(M24="RB",INDEX('Manager Profiles'!$U$5:$U$12,MATCH("Noah",'Manager Profiles'!$A$5:$A$12,0)),IF(M24="WR",INDEX('Manager Profiles'!$V$5:$V$12,MATCH("Noah",'Manager Profiles'!$A$5:$A$12,0)),IF(M24="TE",INDEX('Manager Profiles'!$W$5:$W$12,MATCH("Noah",'Manager Profiles'!$A$5:$A$12,0)),0)))))</f>
        <v>9</v>
      </c>
      <c r="T24">
        <f>IF(M24="","",IF(M24="QB",INDEX('Manager Profiles'!$T$5:$T$12,MATCH($B$5,'Manager Profiles'!$A$5:$A$12,0)),IF(M24="RB",INDEX('Manager Profiles'!$U$5:$U$12,MATCH($B$5,'Manager Profiles'!$A$5:$A$12,0)),IF(M24="WR",INDEX('Manager Profiles'!$V$5:$V$12,MATCH($B$5,'Manager Profiles'!$A$5:$A$12,0)),IF(M24="TE",INDEX('Manager Profiles'!$W$5:$W$12,MATCH($B$5,'Manager Profiles'!$A$5:$A$12,0)),0)))))</f>
        <v>2</v>
      </c>
      <c r="U24">
        <f t="shared" si="1"/>
        <v>7</v>
      </c>
      <c r="V24" t="str">
        <f t="shared" si="2"/>
        <v/>
      </c>
      <c r="W24">
        <f t="shared" ca="1" si="3"/>
        <v>-9999</v>
      </c>
      <c r="X24">
        <f ca="1">IF(M24="","",IFERROR(_xludf.MINIFS($N$5:$N$164,$M$5:$M$164,M24,$N$5:$N$164,"&gt;"&amp;N24,$P$5:$P$164,"&gt;-9999"),N24+20))</f>
        <v>40</v>
      </c>
      <c r="Y24">
        <f t="shared" ca="1" si="4"/>
        <v>20</v>
      </c>
      <c r="Z24" t="str">
        <f t="shared" si="5"/>
        <v/>
      </c>
      <c r="AA24" t="str">
        <f t="shared" si="6"/>
        <v>Yes</v>
      </c>
      <c r="AB24" t="str">
        <f t="shared" ca="1" si="7"/>
        <v>Yes</v>
      </c>
      <c r="AC24" t="str">
        <f t="shared" si="8"/>
        <v>Yes</v>
      </c>
      <c r="AD24" t="str">
        <f t="shared" ca="1" si="9"/>
        <v>Yes</v>
      </c>
    </row>
    <row r="25" spans="1:30">
      <c r="L25" t="str">
        <f>'Player Board'!B24</f>
        <v>Drake London</v>
      </c>
      <c r="M25" t="str">
        <f>'Player Board'!C24</f>
        <v>WR</v>
      </c>
      <c r="N25">
        <f>'Player Board'!H24</f>
        <v>19</v>
      </c>
      <c r="O25" t="str">
        <f>'Player Board'!Q24</f>
        <v/>
      </c>
      <c r="P25">
        <f>IF(NOT(AND('Player Board'!J24="No",'Player Board'!K24="No")),-9999,(325-N25*2)+((IF(M25="QB",INDEX('Manager Profiles'!$T$5:$T$12,MATCH($B$5,'Manager Profiles'!$A$5:$A$12,0)),IF(M25="RB",INDEX('Manager Profiles'!$U$5:$U$12,MATCH($B$5,'Manager Profiles'!$A$5:$A$12,0)),IF(M25="WR",INDEX('Manager Profiles'!$V$5:$V$12,MATCH($B$5,'Manager Profiles'!$A$5:$A$12,0)),IF(M25="TE",INDEX('Manager Profiles'!$W$5:$W$12,MATCH($B$5,'Manager Profiles'!$A$5:$A$12,0)),0)))))*3)+(IF($B$6="Contender",IF('Player Board'!R24="Veteran",12,IF('Player Board'!R24="Prime",7,IF('Player Board'!R24="Young",3,-4))),IF($B$6="Rebuilder",IF('Player Board'!R24="Rookie",15,IF('Player Board'!R24="Young",10,IF('Player Board'!R24="Prime",2,-15))),IF('Player Board'!R24="Veteran",-2,IF('Player Board'!R24="Rookie",4,2)))))+MAX(-20,MIN(20,($B$4-IF(O25="",N25,O25))*2))+(IFERROR(IF(INDEX('Player Board'!$F$4:$F$163,MATCH(N25+1,'Player Board'!$H$4:$H$163,0))&gt;'Player Board'!F24,8,0),0)))</f>
        <v>-9999</v>
      </c>
      <c r="Q25">
        <f t="shared" si="0"/>
        <v>-9998.9819000000007</v>
      </c>
      <c r="R25">
        <f>IF(AND('Draft Tracker'!D24="Noah",'Draft Tracker'!A24&gt;$B$4),'Draft Tracker'!A24,9999)</f>
        <v>9999</v>
      </c>
      <c r="S25">
        <f>IF(M25="","",IF(M25="QB",INDEX('Manager Profiles'!$T$5:$T$12,MATCH("Noah",'Manager Profiles'!$A$5:$A$12,0)),IF(M25="RB",INDEX('Manager Profiles'!$U$5:$U$12,MATCH("Noah",'Manager Profiles'!$A$5:$A$12,0)),IF(M25="WR",INDEX('Manager Profiles'!$V$5:$V$12,MATCH("Noah",'Manager Profiles'!$A$5:$A$12,0)),IF(M25="TE",INDEX('Manager Profiles'!$W$5:$W$12,MATCH("Noah",'Manager Profiles'!$A$5:$A$12,0)),0)))))</f>
        <v>1</v>
      </c>
      <c r="T25">
        <f>IF(M25="","",IF(M25="QB",INDEX('Manager Profiles'!$T$5:$T$12,MATCH($B$5,'Manager Profiles'!$A$5:$A$12,0)),IF(M25="RB",INDEX('Manager Profiles'!$U$5:$U$12,MATCH($B$5,'Manager Profiles'!$A$5:$A$12,0)),IF(M25="WR",INDEX('Manager Profiles'!$V$5:$V$12,MATCH($B$5,'Manager Profiles'!$A$5:$A$12,0)),IF(M25="TE",INDEX('Manager Profiles'!$W$5:$W$12,MATCH($B$5,'Manager Profiles'!$A$5:$A$12,0)),0)))))</f>
        <v>3</v>
      </c>
      <c r="U25">
        <f t="shared" si="1"/>
        <v>-2</v>
      </c>
      <c r="V25" t="str">
        <f t="shared" si="2"/>
        <v/>
      </c>
      <c r="W25">
        <f t="shared" ca="1" si="3"/>
        <v>-9999</v>
      </c>
      <c r="X25">
        <f ca="1">IF(M25="","",IFERROR(_xludf.MINIFS($N$5:$N$164,$M$5:$M$164,M25,$N$5:$N$164,"&gt;"&amp;N25,$P$5:$P$164,"&gt;-9999"),N25+20))</f>
        <v>39</v>
      </c>
      <c r="Y25">
        <f t="shared" ca="1" si="4"/>
        <v>20</v>
      </c>
      <c r="Z25" t="str">
        <f t="shared" si="5"/>
        <v/>
      </c>
      <c r="AA25" t="str">
        <f t="shared" si="6"/>
        <v>No</v>
      </c>
      <c r="AB25" t="str">
        <f t="shared" ca="1" si="7"/>
        <v>Yes</v>
      </c>
      <c r="AC25" t="str">
        <f t="shared" si="8"/>
        <v>Yes</v>
      </c>
      <c r="AD25" t="str">
        <f t="shared" ca="1" si="9"/>
        <v>No</v>
      </c>
    </row>
    <row r="26" spans="1:30">
      <c r="L26" t="str">
        <f>'Player Board'!B25</f>
        <v>Omarion Hampton</v>
      </c>
      <c r="M26" t="str">
        <f>'Player Board'!C25</f>
        <v>RB</v>
      </c>
      <c r="N26">
        <f>'Player Board'!H25</f>
        <v>15</v>
      </c>
      <c r="O26" t="str">
        <f>'Player Board'!Q25</f>
        <v/>
      </c>
      <c r="P26">
        <f>IF(NOT(AND('Player Board'!J25="No",'Player Board'!K25="No")),-9999,(325-N26*2)+((IF(M26="QB",INDEX('Manager Profiles'!$T$5:$T$12,MATCH($B$5,'Manager Profiles'!$A$5:$A$12,0)),IF(M26="RB",INDEX('Manager Profiles'!$U$5:$U$12,MATCH($B$5,'Manager Profiles'!$A$5:$A$12,0)),IF(M26="WR",INDEX('Manager Profiles'!$V$5:$V$12,MATCH($B$5,'Manager Profiles'!$A$5:$A$12,0)),IF(M26="TE",INDEX('Manager Profiles'!$W$5:$W$12,MATCH($B$5,'Manager Profiles'!$A$5:$A$12,0)),0)))))*3)+(IF($B$6="Contender",IF('Player Board'!R25="Veteran",12,IF('Player Board'!R25="Prime",7,IF('Player Board'!R25="Young",3,-4))),IF($B$6="Rebuilder",IF('Player Board'!R25="Rookie",15,IF('Player Board'!R25="Young",10,IF('Player Board'!R25="Prime",2,-15))),IF('Player Board'!R25="Veteran",-2,IF('Player Board'!R25="Rookie",4,2)))))+MAX(-20,MIN(20,($B$4-IF(O26="",N26,O26))*2))+(IFERROR(IF(INDEX('Player Board'!$F$4:$F$163,MATCH(N26+1,'Player Board'!$H$4:$H$163,0))&gt;'Player Board'!F25,8,0),0)))</f>
        <v>-9999</v>
      </c>
      <c r="Q26">
        <f t="shared" si="0"/>
        <v>-9998.9814999999999</v>
      </c>
      <c r="R26">
        <f>IF(AND('Draft Tracker'!D25="Noah",'Draft Tracker'!A25&gt;$B$4),'Draft Tracker'!A25,9999)</f>
        <v>9999</v>
      </c>
      <c r="S26">
        <f>IF(M26="","",IF(M26="QB",INDEX('Manager Profiles'!$T$5:$T$12,MATCH("Noah",'Manager Profiles'!$A$5:$A$12,0)),IF(M26="RB",INDEX('Manager Profiles'!$U$5:$U$12,MATCH("Noah",'Manager Profiles'!$A$5:$A$12,0)),IF(M26="WR",INDEX('Manager Profiles'!$V$5:$V$12,MATCH("Noah",'Manager Profiles'!$A$5:$A$12,0)),IF(M26="TE",INDEX('Manager Profiles'!$W$5:$W$12,MATCH("Noah",'Manager Profiles'!$A$5:$A$12,0)),0)))))</f>
        <v>4</v>
      </c>
      <c r="T26">
        <f>IF(M26="","",IF(M26="QB",INDEX('Manager Profiles'!$T$5:$T$12,MATCH($B$5,'Manager Profiles'!$A$5:$A$12,0)),IF(M26="RB",INDEX('Manager Profiles'!$U$5:$U$12,MATCH($B$5,'Manager Profiles'!$A$5:$A$12,0)),IF(M26="WR",INDEX('Manager Profiles'!$V$5:$V$12,MATCH($B$5,'Manager Profiles'!$A$5:$A$12,0)),IF(M26="TE",INDEX('Manager Profiles'!$W$5:$W$12,MATCH($B$5,'Manager Profiles'!$A$5:$A$12,0)),0)))))</f>
        <v>9</v>
      </c>
      <c r="U26">
        <f t="shared" si="1"/>
        <v>-5</v>
      </c>
      <c r="V26" t="str">
        <f t="shared" si="2"/>
        <v/>
      </c>
      <c r="W26">
        <f t="shared" ca="1" si="3"/>
        <v>-9999</v>
      </c>
      <c r="X26">
        <f ca="1">IF(M26="","",IFERROR(_xludf.MINIFS($N$5:$N$164,$M$5:$M$164,M26,$N$5:$N$164,"&gt;"&amp;N26,$P$5:$P$164,"&gt;-9999"),N26+20))</f>
        <v>35</v>
      </c>
      <c r="Y26">
        <f t="shared" ca="1" si="4"/>
        <v>20</v>
      </c>
      <c r="Z26" t="str">
        <f t="shared" si="5"/>
        <v/>
      </c>
      <c r="AA26" t="str">
        <f t="shared" si="6"/>
        <v>Yes</v>
      </c>
      <c r="AB26" t="str">
        <f t="shared" ca="1" si="7"/>
        <v>Yes</v>
      </c>
      <c r="AC26" t="str">
        <f t="shared" si="8"/>
        <v>Yes</v>
      </c>
      <c r="AD26" t="str">
        <f t="shared" ca="1" si="9"/>
        <v>No</v>
      </c>
    </row>
    <row r="27" spans="1:30">
      <c r="L27" t="str">
        <f>'Player Board'!B26</f>
        <v>De'Von Achane</v>
      </c>
      <c r="M27" t="str">
        <f>'Player Board'!C26</f>
        <v>RB</v>
      </c>
      <c r="N27">
        <f>'Player Board'!H26</f>
        <v>30</v>
      </c>
      <c r="O27" t="str">
        <f>'Player Board'!Q26</f>
        <v/>
      </c>
      <c r="P27">
        <f>IF(NOT(AND('Player Board'!J26="No",'Player Board'!K26="No")),-9999,(325-N27*2)+((IF(M27="QB",INDEX('Manager Profiles'!$T$5:$T$12,MATCH($B$5,'Manager Profiles'!$A$5:$A$12,0)),IF(M27="RB",INDEX('Manager Profiles'!$U$5:$U$12,MATCH($B$5,'Manager Profiles'!$A$5:$A$12,0)),IF(M27="WR",INDEX('Manager Profiles'!$V$5:$V$12,MATCH($B$5,'Manager Profiles'!$A$5:$A$12,0)),IF(M27="TE",INDEX('Manager Profiles'!$W$5:$W$12,MATCH($B$5,'Manager Profiles'!$A$5:$A$12,0)),0)))))*3)+(IF($B$6="Contender",IF('Player Board'!R26="Veteran",12,IF('Player Board'!R26="Prime",7,IF('Player Board'!R26="Young",3,-4))),IF($B$6="Rebuilder",IF('Player Board'!R26="Rookie",15,IF('Player Board'!R26="Young",10,IF('Player Board'!R26="Prime",2,-15))),IF('Player Board'!R26="Veteran",-2,IF('Player Board'!R26="Rookie",4,2)))))+MAX(-20,MIN(20,($B$4-IF(O27="",N27,O27))*2))+(IFERROR(IF(INDEX('Player Board'!$F$4:$F$163,MATCH(N27+1,'Player Board'!$H$4:$H$163,0))&gt;'Player Board'!F26,8,0),0)))</f>
        <v>-9999</v>
      </c>
      <c r="Q27">
        <f t="shared" si="0"/>
        <v>-9998.9830000000002</v>
      </c>
      <c r="R27">
        <f>IF(AND('Draft Tracker'!D26="Noah",'Draft Tracker'!A26&gt;$B$4),'Draft Tracker'!A26,9999)</f>
        <v>9999</v>
      </c>
      <c r="S27">
        <f>IF(M27="","",IF(M27="QB",INDEX('Manager Profiles'!$T$5:$T$12,MATCH("Noah",'Manager Profiles'!$A$5:$A$12,0)),IF(M27="RB",INDEX('Manager Profiles'!$U$5:$U$12,MATCH("Noah",'Manager Profiles'!$A$5:$A$12,0)),IF(M27="WR",INDEX('Manager Profiles'!$V$5:$V$12,MATCH("Noah",'Manager Profiles'!$A$5:$A$12,0)),IF(M27="TE",INDEX('Manager Profiles'!$W$5:$W$12,MATCH("Noah",'Manager Profiles'!$A$5:$A$12,0)),0)))))</f>
        <v>4</v>
      </c>
      <c r="T27">
        <f>IF(M27="","",IF(M27="QB",INDEX('Manager Profiles'!$T$5:$T$12,MATCH($B$5,'Manager Profiles'!$A$5:$A$12,0)),IF(M27="RB",INDEX('Manager Profiles'!$U$5:$U$12,MATCH($B$5,'Manager Profiles'!$A$5:$A$12,0)),IF(M27="WR",INDEX('Manager Profiles'!$V$5:$V$12,MATCH($B$5,'Manager Profiles'!$A$5:$A$12,0)),IF(M27="TE",INDEX('Manager Profiles'!$W$5:$W$12,MATCH($B$5,'Manager Profiles'!$A$5:$A$12,0)),0)))))</f>
        <v>9</v>
      </c>
      <c r="U27">
        <f t="shared" si="1"/>
        <v>-5</v>
      </c>
      <c r="V27" t="str">
        <f t="shared" si="2"/>
        <v/>
      </c>
      <c r="W27">
        <f t="shared" ca="1" si="3"/>
        <v>-9999</v>
      </c>
      <c r="X27">
        <f ca="1">IF(M27="","",IFERROR(_xludf.MINIFS($N$5:$N$164,$M$5:$M$164,M27,$N$5:$N$164,"&gt;"&amp;N27,$P$5:$P$164,"&gt;-9999"),N27+20))</f>
        <v>50</v>
      </c>
      <c r="Y27">
        <f t="shared" ca="1" si="4"/>
        <v>20</v>
      </c>
      <c r="Z27" t="str">
        <f t="shared" si="5"/>
        <v/>
      </c>
      <c r="AA27" t="str">
        <f t="shared" si="6"/>
        <v>Yes</v>
      </c>
      <c r="AB27" t="str">
        <f t="shared" ca="1" si="7"/>
        <v>Yes</v>
      </c>
      <c r="AC27" t="str">
        <f t="shared" si="8"/>
        <v>Yes</v>
      </c>
      <c r="AD27" t="str">
        <f t="shared" ca="1" si="9"/>
        <v>No</v>
      </c>
    </row>
    <row r="28" spans="1:30">
      <c r="L28" t="str">
        <f>'Player Board'!B27</f>
        <v>Patrick Mahomes</v>
      </c>
      <c r="M28" t="str">
        <f>'Player Board'!C27</f>
        <v>QB</v>
      </c>
      <c r="N28">
        <f>'Player Board'!H27</f>
        <v>23</v>
      </c>
      <c r="O28" t="str">
        <f>'Player Board'!Q27</f>
        <v/>
      </c>
      <c r="P28">
        <f>IF(NOT(AND('Player Board'!J27="No",'Player Board'!K27="No")),-9999,(325-N28*2)+((IF(M28="QB",INDEX('Manager Profiles'!$T$5:$T$12,MATCH($B$5,'Manager Profiles'!$A$5:$A$12,0)),IF(M28="RB",INDEX('Manager Profiles'!$U$5:$U$12,MATCH($B$5,'Manager Profiles'!$A$5:$A$12,0)),IF(M28="WR",INDEX('Manager Profiles'!$V$5:$V$12,MATCH($B$5,'Manager Profiles'!$A$5:$A$12,0)),IF(M28="TE",INDEX('Manager Profiles'!$W$5:$W$12,MATCH($B$5,'Manager Profiles'!$A$5:$A$12,0)),0)))))*3)+(IF($B$6="Contender",IF('Player Board'!R27="Veteran",12,IF('Player Board'!R27="Prime",7,IF('Player Board'!R27="Young",3,-4))),IF($B$6="Rebuilder",IF('Player Board'!R27="Rookie",15,IF('Player Board'!R27="Young",10,IF('Player Board'!R27="Prime",2,-15))),IF('Player Board'!R27="Veteran",-2,IF('Player Board'!R27="Rookie",4,2)))))+MAX(-20,MIN(20,($B$4-IF(O28="",N28,O28))*2))+(IFERROR(IF(INDEX('Player Board'!$F$4:$F$163,MATCH(N28+1,'Player Board'!$H$4:$H$163,0))&gt;'Player Board'!F27,8,0),0)))</f>
        <v>-9999</v>
      </c>
      <c r="Q28">
        <f t="shared" si="0"/>
        <v>-9998.9822999999997</v>
      </c>
      <c r="R28">
        <f>IF(AND('Draft Tracker'!D27="Noah",'Draft Tracker'!A27&gt;$B$4),'Draft Tracker'!A27,9999)</f>
        <v>9999</v>
      </c>
      <c r="S28">
        <f>IF(M28="","",IF(M28="QB",INDEX('Manager Profiles'!$T$5:$T$12,MATCH("Noah",'Manager Profiles'!$A$5:$A$12,0)),IF(M28="RB",INDEX('Manager Profiles'!$U$5:$U$12,MATCH("Noah",'Manager Profiles'!$A$5:$A$12,0)),IF(M28="WR",INDEX('Manager Profiles'!$V$5:$V$12,MATCH("Noah",'Manager Profiles'!$A$5:$A$12,0)),IF(M28="TE",INDEX('Manager Profiles'!$W$5:$W$12,MATCH("Noah",'Manager Profiles'!$A$5:$A$12,0)),0)))))</f>
        <v>9</v>
      </c>
      <c r="T28">
        <f>IF(M28="","",IF(M28="QB",INDEX('Manager Profiles'!$T$5:$T$12,MATCH($B$5,'Manager Profiles'!$A$5:$A$12,0)),IF(M28="RB",INDEX('Manager Profiles'!$U$5:$U$12,MATCH($B$5,'Manager Profiles'!$A$5:$A$12,0)),IF(M28="WR",INDEX('Manager Profiles'!$V$5:$V$12,MATCH($B$5,'Manager Profiles'!$A$5:$A$12,0)),IF(M28="TE",INDEX('Manager Profiles'!$W$5:$W$12,MATCH($B$5,'Manager Profiles'!$A$5:$A$12,0)),0)))))</f>
        <v>2</v>
      </c>
      <c r="U28">
        <f t="shared" si="1"/>
        <v>7</v>
      </c>
      <c r="V28" t="str">
        <f t="shared" si="2"/>
        <v/>
      </c>
      <c r="W28">
        <f t="shared" ca="1" si="3"/>
        <v>-9999</v>
      </c>
      <c r="X28">
        <f ca="1">IF(M28="","",IFERROR(_xludf.MINIFS($N$5:$N$164,$M$5:$M$164,M28,$N$5:$N$164,"&gt;"&amp;N28,$P$5:$P$164,"&gt;-9999"),N28+20))</f>
        <v>43</v>
      </c>
      <c r="Y28">
        <f t="shared" ca="1" si="4"/>
        <v>20</v>
      </c>
      <c r="Z28" t="str">
        <f t="shared" si="5"/>
        <v/>
      </c>
      <c r="AA28" t="str">
        <f t="shared" si="6"/>
        <v>Yes</v>
      </c>
      <c r="AB28" t="str">
        <f t="shared" ca="1" si="7"/>
        <v>Yes</v>
      </c>
      <c r="AC28" t="str">
        <f t="shared" si="8"/>
        <v>Yes</v>
      </c>
      <c r="AD28" t="str">
        <f t="shared" ca="1" si="9"/>
        <v>Yes</v>
      </c>
    </row>
    <row r="29" spans="1:30">
      <c r="L29" t="str">
        <f>'Player Board'!B28</f>
        <v>Tetairoa McMillan</v>
      </c>
      <c r="M29" t="str">
        <f>'Player Board'!C28</f>
        <v>WR</v>
      </c>
      <c r="N29">
        <f>'Player Board'!H28</f>
        <v>22</v>
      </c>
      <c r="O29" t="str">
        <f>'Player Board'!Q28</f>
        <v/>
      </c>
      <c r="P29">
        <f>IF(NOT(AND('Player Board'!J28="No",'Player Board'!K28="No")),-9999,(325-N29*2)+((IF(M29="QB",INDEX('Manager Profiles'!$T$5:$T$12,MATCH($B$5,'Manager Profiles'!$A$5:$A$12,0)),IF(M29="RB",INDEX('Manager Profiles'!$U$5:$U$12,MATCH($B$5,'Manager Profiles'!$A$5:$A$12,0)),IF(M29="WR",INDEX('Manager Profiles'!$V$5:$V$12,MATCH($B$5,'Manager Profiles'!$A$5:$A$12,0)),IF(M29="TE",INDEX('Manager Profiles'!$W$5:$W$12,MATCH($B$5,'Manager Profiles'!$A$5:$A$12,0)),0)))))*3)+(IF($B$6="Contender",IF('Player Board'!R28="Veteran",12,IF('Player Board'!R28="Prime",7,IF('Player Board'!R28="Young",3,-4))),IF($B$6="Rebuilder",IF('Player Board'!R28="Rookie",15,IF('Player Board'!R28="Young",10,IF('Player Board'!R28="Prime",2,-15))),IF('Player Board'!R28="Veteran",-2,IF('Player Board'!R28="Rookie",4,2)))))+MAX(-20,MIN(20,($B$4-IF(O29="",N29,O29))*2))+(IFERROR(IF(INDEX('Player Board'!$F$4:$F$163,MATCH(N29+1,'Player Board'!$H$4:$H$163,0))&gt;'Player Board'!F28,8,0),0)))</f>
        <v>-9999</v>
      </c>
      <c r="Q29">
        <f t="shared" si="0"/>
        <v>-9998.9822000000004</v>
      </c>
      <c r="R29">
        <f>IF(AND('Draft Tracker'!D28="Noah",'Draft Tracker'!A28&gt;$B$4),'Draft Tracker'!A28,9999)</f>
        <v>9999</v>
      </c>
      <c r="S29">
        <f>IF(M29="","",IF(M29="QB",INDEX('Manager Profiles'!$T$5:$T$12,MATCH("Noah",'Manager Profiles'!$A$5:$A$12,0)),IF(M29="RB",INDEX('Manager Profiles'!$U$5:$U$12,MATCH("Noah",'Manager Profiles'!$A$5:$A$12,0)),IF(M29="WR",INDEX('Manager Profiles'!$V$5:$V$12,MATCH("Noah",'Manager Profiles'!$A$5:$A$12,0)),IF(M29="TE",INDEX('Manager Profiles'!$W$5:$W$12,MATCH("Noah",'Manager Profiles'!$A$5:$A$12,0)),0)))))</f>
        <v>1</v>
      </c>
      <c r="T29">
        <f>IF(M29="","",IF(M29="QB",INDEX('Manager Profiles'!$T$5:$T$12,MATCH($B$5,'Manager Profiles'!$A$5:$A$12,0)),IF(M29="RB",INDEX('Manager Profiles'!$U$5:$U$12,MATCH($B$5,'Manager Profiles'!$A$5:$A$12,0)),IF(M29="WR",INDEX('Manager Profiles'!$V$5:$V$12,MATCH($B$5,'Manager Profiles'!$A$5:$A$12,0)),IF(M29="TE",INDEX('Manager Profiles'!$W$5:$W$12,MATCH($B$5,'Manager Profiles'!$A$5:$A$12,0)),0)))))</f>
        <v>3</v>
      </c>
      <c r="U29">
        <f t="shared" si="1"/>
        <v>-2</v>
      </c>
      <c r="V29" t="str">
        <f t="shared" si="2"/>
        <v/>
      </c>
      <c r="W29">
        <f t="shared" ca="1" si="3"/>
        <v>-9999</v>
      </c>
      <c r="X29">
        <f ca="1">IF(M29="","",IFERROR(_xludf.MINIFS($N$5:$N$164,$M$5:$M$164,M29,$N$5:$N$164,"&gt;"&amp;N29,$P$5:$P$164,"&gt;-9999"),N29+20))</f>
        <v>42</v>
      </c>
      <c r="Y29">
        <f t="shared" ca="1" si="4"/>
        <v>20</v>
      </c>
      <c r="Z29" t="str">
        <f t="shared" si="5"/>
        <v/>
      </c>
      <c r="AA29" t="str">
        <f t="shared" si="6"/>
        <v>No</v>
      </c>
      <c r="AB29" t="str">
        <f t="shared" ca="1" si="7"/>
        <v>Yes</v>
      </c>
      <c r="AC29" t="str">
        <f t="shared" si="8"/>
        <v>Yes</v>
      </c>
      <c r="AD29" t="str">
        <f t="shared" ca="1" si="9"/>
        <v>No</v>
      </c>
    </row>
    <row r="30" spans="1:30">
      <c r="L30" t="str">
        <f>'Player Board'!B29</f>
        <v>Jaxson Dart</v>
      </c>
      <c r="M30" t="str">
        <f>'Player Board'!C29</f>
        <v>QB</v>
      </c>
      <c r="N30">
        <f>'Player Board'!H29</f>
        <v>39</v>
      </c>
      <c r="O30" t="str">
        <f>'Player Board'!Q29</f>
        <v/>
      </c>
      <c r="P30">
        <f>IF(NOT(AND('Player Board'!J29="No",'Player Board'!K29="No")),-9999,(325-N30*2)+((IF(M30="QB",INDEX('Manager Profiles'!$T$5:$T$12,MATCH($B$5,'Manager Profiles'!$A$5:$A$12,0)),IF(M30="RB",INDEX('Manager Profiles'!$U$5:$U$12,MATCH($B$5,'Manager Profiles'!$A$5:$A$12,0)),IF(M30="WR",INDEX('Manager Profiles'!$V$5:$V$12,MATCH($B$5,'Manager Profiles'!$A$5:$A$12,0)),IF(M30="TE",INDEX('Manager Profiles'!$W$5:$W$12,MATCH($B$5,'Manager Profiles'!$A$5:$A$12,0)),0)))))*3)+(IF($B$6="Contender",IF('Player Board'!R29="Veteran",12,IF('Player Board'!R29="Prime",7,IF('Player Board'!R29="Young",3,-4))),IF($B$6="Rebuilder",IF('Player Board'!R29="Rookie",15,IF('Player Board'!R29="Young",10,IF('Player Board'!R29="Prime",2,-15))),IF('Player Board'!R29="Veteran",-2,IF('Player Board'!R29="Rookie",4,2)))))+MAX(-20,MIN(20,($B$4-IF(O30="",N30,O30))*2))+(IFERROR(IF(INDEX('Player Board'!$F$4:$F$163,MATCH(N30+1,'Player Board'!$H$4:$H$163,0))&gt;'Player Board'!F29,8,0),0)))</f>
        <v>-9999</v>
      </c>
      <c r="Q30">
        <f t="shared" si="0"/>
        <v>-9998.9838999999993</v>
      </c>
      <c r="R30">
        <f>IF(AND('Draft Tracker'!D29="Noah",'Draft Tracker'!A29&gt;$B$4),'Draft Tracker'!A29,9999)</f>
        <v>9999</v>
      </c>
      <c r="S30">
        <f>IF(M30="","",IF(M30="QB",INDEX('Manager Profiles'!$T$5:$T$12,MATCH("Noah",'Manager Profiles'!$A$5:$A$12,0)),IF(M30="RB",INDEX('Manager Profiles'!$U$5:$U$12,MATCH("Noah",'Manager Profiles'!$A$5:$A$12,0)),IF(M30="WR",INDEX('Manager Profiles'!$V$5:$V$12,MATCH("Noah",'Manager Profiles'!$A$5:$A$12,0)),IF(M30="TE",INDEX('Manager Profiles'!$W$5:$W$12,MATCH("Noah",'Manager Profiles'!$A$5:$A$12,0)),0)))))</f>
        <v>9</v>
      </c>
      <c r="T30">
        <f>IF(M30="","",IF(M30="QB",INDEX('Manager Profiles'!$T$5:$T$12,MATCH($B$5,'Manager Profiles'!$A$5:$A$12,0)),IF(M30="RB",INDEX('Manager Profiles'!$U$5:$U$12,MATCH($B$5,'Manager Profiles'!$A$5:$A$12,0)),IF(M30="WR",INDEX('Manager Profiles'!$V$5:$V$12,MATCH($B$5,'Manager Profiles'!$A$5:$A$12,0)),IF(M30="TE",INDEX('Manager Profiles'!$W$5:$W$12,MATCH($B$5,'Manager Profiles'!$A$5:$A$12,0)),0)))))</f>
        <v>2</v>
      </c>
      <c r="U30">
        <f t="shared" si="1"/>
        <v>7</v>
      </c>
      <c r="V30" t="str">
        <f t="shared" si="2"/>
        <v/>
      </c>
      <c r="W30">
        <f t="shared" ca="1" si="3"/>
        <v>-9999</v>
      </c>
      <c r="X30">
        <f ca="1">IF(M30="","",IFERROR(_xludf.MINIFS($N$5:$N$164,$M$5:$M$164,M30,$N$5:$N$164,"&gt;"&amp;N30,$P$5:$P$164,"&gt;-9999"),N30+20))</f>
        <v>59</v>
      </c>
      <c r="Y30">
        <f t="shared" ca="1" si="4"/>
        <v>20</v>
      </c>
      <c r="Z30" t="str">
        <f t="shared" si="5"/>
        <v/>
      </c>
      <c r="AA30" t="str">
        <f t="shared" si="6"/>
        <v>Yes</v>
      </c>
      <c r="AB30" t="str">
        <f t="shared" ca="1" si="7"/>
        <v>Yes</v>
      </c>
      <c r="AC30" t="str">
        <f t="shared" si="8"/>
        <v>Yes</v>
      </c>
      <c r="AD30" t="str">
        <f t="shared" ca="1" si="9"/>
        <v>Yes</v>
      </c>
    </row>
    <row r="31" spans="1:30">
      <c r="L31" t="str">
        <f>'Player Board'!B30</f>
        <v>Colston Loveland</v>
      </c>
      <c r="M31" t="str">
        <f>'Player Board'!C30</f>
        <v>TE</v>
      </c>
      <c r="N31">
        <f>'Player Board'!H30</f>
        <v>44</v>
      </c>
      <c r="O31" t="str">
        <f>'Player Board'!Q30</f>
        <v/>
      </c>
      <c r="P31">
        <f>IF(NOT(AND('Player Board'!J30="No",'Player Board'!K30="No")),-9999,(325-N31*2)+((IF(M31="QB",INDEX('Manager Profiles'!$T$5:$T$12,MATCH($B$5,'Manager Profiles'!$A$5:$A$12,0)),IF(M31="RB",INDEX('Manager Profiles'!$U$5:$U$12,MATCH($B$5,'Manager Profiles'!$A$5:$A$12,0)),IF(M31="WR",INDEX('Manager Profiles'!$V$5:$V$12,MATCH($B$5,'Manager Profiles'!$A$5:$A$12,0)),IF(M31="TE",INDEX('Manager Profiles'!$W$5:$W$12,MATCH($B$5,'Manager Profiles'!$A$5:$A$12,0)),0)))))*3)+(IF($B$6="Contender",IF('Player Board'!R30="Veteran",12,IF('Player Board'!R30="Prime",7,IF('Player Board'!R30="Young",3,-4))),IF($B$6="Rebuilder",IF('Player Board'!R30="Rookie",15,IF('Player Board'!R30="Young",10,IF('Player Board'!R30="Prime",2,-15))),IF('Player Board'!R30="Veteran",-2,IF('Player Board'!R30="Rookie",4,2)))))+MAX(-20,MIN(20,($B$4-IF(O31="",N31,O31))*2))+(IFERROR(IF(INDEX('Player Board'!$F$4:$F$163,MATCH(N31+1,'Player Board'!$H$4:$H$163,0))&gt;'Player Board'!F30,8,0),0)))</f>
        <v>-9999</v>
      </c>
      <c r="Q31">
        <f t="shared" si="0"/>
        <v>-9998.9843999999994</v>
      </c>
      <c r="R31">
        <f>IF(AND('Draft Tracker'!D30="Noah",'Draft Tracker'!A30&gt;$B$4),'Draft Tracker'!A30,9999)</f>
        <v>9999</v>
      </c>
      <c r="S31">
        <f>IF(M31="","",IF(M31="QB",INDEX('Manager Profiles'!$T$5:$T$12,MATCH("Noah",'Manager Profiles'!$A$5:$A$12,0)),IF(M31="RB",INDEX('Manager Profiles'!$U$5:$U$12,MATCH("Noah",'Manager Profiles'!$A$5:$A$12,0)),IF(M31="WR",INDEX('Manager Profiles'!$V$5:$V$12,MATCH("Noah",'Manager Profiles'!$A$5:$A$12,0)),IF(M31="TE",INDEX('Manager Profiles'!$W$5:$W$12,MATCH("Noah",'Manager Profiles'!$A$5:$A$12,0)),0)))))</f>
        <v>7</v>
      </c>
      <c r="T31">
        <f>IF(M31="","",IF(M31="QB",INDEX('Manager Profiles'!$T$5:$T$12,MATCH($B$5,'Manager Profiles'!$A$5:$A$12,0)),IF(M31="RB",INDEX('Manager Profiles'!$U$5:$U$12,MATCH($B$5,'Manager Profiles'!$A$5:$A$12,0)),IF(M31="WR",INDEX('Manager Profiles'!$V$5:$V$12,MATCH($B$5,'Manager Profiles'!$A$5:$A$12,0)),IF(M31="TE",INDEX('Manager Profiles'!$W$5:$W$12,MATCH($B$5,'Manager Profiles'!$A$5:$A$12,0)),0)))))</f>
        <v>3</v>
      </c>
      <c r="U31">
        <f t="shared" si="1"/>
        <v>4</v>
      </c>
      <c r="V31" t="str">
        <f t="shared" si="2"/>
        <v/>
      </c>
      <c r="W31">
        <f t="shared" ca="1" si="3"/>
        <v>-9999</v>
      </c>
      <c r="X31">
        <f ca="1">IF(M31="","",IFERROR(_xludf.MINIFS($N$5:$N$164,$M$5:$M$164,M31,$N$5:$N$164,"&gt;"&amp;N31,$P$5:$P$164,"&gt;-9999"),N31+20))</f>
        <v>64</v>
      </c>
      <c r="Y31">
        <f t="shared" ca="1" si="4"/>
        <v>20</v>
      </c>
      <c r="Z31" t="str">
        <f t="shared" si="5"/>
        <v/>
      </c>
      <c r="AA31" t="str">
        <f t="shared" si="6"/>
        <v>Yes</v>
      </c>
      <c r="AB31" t="str">
        <f t="shared" ca="1" si="7"/>
        <v>Yes</v>
      </c>
      <c r="AC31" t="str">
        <f t="shared" si="8"/>
        <v>Yes</v>
      </c>
      <c r="AD31" t="str">
        <f t="shared" ca="1" si="9"/>
        <v>Yes</v>
      </c>
    </row>
    <row r="32" spans="1:30">
      <c r="L32" t="str">
        <f>'Player Board'!B31</f>
        <v>Trevor Lawrence</v>
      </c>
      <c r="M32" t="str">
        <f>'Player Board'!C31</f>
        <v>QB</v>
      </c>
      <c r="N32">
        <f>'Player Board'!H31</f>
        <v>37</v>
      </c>
      <c r="O32" t="str">
        <f>'Player Board'!Q31</f>
        <v/>
      </c>
      <c r="P32">
        <f>IF(NOT(AND('Player Board'!J31="No",'Player Board'!K31="No")),-9999,(325-N32*2)+((IF(M32="QB",INDEX('Manager Profiles'!$T$5:$T$12,MATCH($B$5,'Manager Profiles'!$A$5:$A$12,0)),IF(M32="RB",INDEX('Manager Profiles'!$U$5:$U$12,MATCH($B$5,'Manager Profiles'!$A$5:$A$12,0)),IF(M32="WR",INDEX('Manager Profiles'!$V$5:$V$12,MATCH($B$5,'Manager Profiles'!$A$5:$A$12,0)),IF(M32="TE",INDEX('Manager Profiles'!$W$5:$W$12,MATCH($B$5,'Manager Profiles'!$A$5:$A$12,0)),0)))))*3)+(IF($B$6="Contender",IF('Player Board'!R31="Veteran",12,IF('Player Board'!R31="Prime",7,IF('Player Board'!R31="Young",3,-4))),IF($B$6="Rebuilder",IF('Player Board'!R31="Rookie",15,IF('Player Board'!R31="Young",10,IF('Player Board'!R31="Prime",2,-15))),IF('Player Board'!R31="Veteran",-2,IF('Player Board'!R31="Rookie",4,2)))))+MAX(-20,MIN(20,($B$4-IF(O32="",N32,O32))*2))+(IFERROR(IF(INDEX('Player Board'!$F$4:$F$163,MATCH(N32+1,'Player Board'!$H$4:$H$163,0))&gt;'Player Board'!F31,8,0),0)))</f>
        <v>-9999</v>
      </c>
      <c r="Q32">
        <f t="shared" si="0"/>
        <v>-9998.9837000000007</v>
      </c>
      <c r="R32">
        <f>IF(AND('Draft Tracker'!D31="Noah",'Draft Tracker'!A31&gt;$B$4),'Draft Tracker'!A31,9999)</f>
        <v>28</v>
      </c>
      <c r="S32">
        <f>IF(M32="","",IF(M32="QB",INDEX('Manager Profiles'!$T$5:$T$12,MATCH("Noah",'Manager Profiles'!$A$5:$A$12,0)),IF(M32="RB",INDEX('Manager Profiles'!$U$5:$U$12,MATCH("Noah",'Manager Profiles'!$A$5:$A$12,0)),IF(M32="WR",INDEX('Manager Profiles'!$V$5:$V$12,MATCH("Noah",'Manager Profiles'!$A$5:$A$12,0)),IF(M32="TE",INDEX('Manager Profiles'!$W$5:$W$12,MATCH("Noah",'Manager Profiles'!$A$5:$A$12,0)),0)))))</f>
        <v>9</v>
      </c>
      <c r="T32">
        <f>IF(M32="","",IF(M32="QB",INDEX('Manager Profiles'!$T$5:$T$12,MATCH($B$5,'Manager Profiles'!$A$5:$A$12,0)),IF(M32="RB",INDEX('Manager Profiles'!$U$5:$U$12,MATCH($B$5,'Manager Profiles'!$A$5:$A$12,0)),IF(M32="WR",INDEX('Manager Profiles'!$V$5:$V$12,MATCH($B$5,'Manager Profiles'!$A$5:$A$12,0)),IF(M32="TE",INDEX('Manager Profiles'!$W$5:$W$12,MATCH($B$5,'Manager Profiles'!$A$5:$A$12,0)),0)))))</f>
        <v>2</v>
      </c>
      <c r="U32">
        <f t="shared" si="1"/>
        <v>7</v>
      </c>
      <c r="V32" t="str">
        <f t="shared" si="2"/>
        <v/>
      </c>
      <c r="W32">
        <f t="shared" ca="1" si="3"/>
        <v>-9999</v>
      </c>
      <c r="X32">
        <f ca="1">IF(M32="","",IFERROR(_xludf.MINIFS($N$5:$N$164,$M$5:$M$164,M32,$N$5:$N$164,"&gt;"&amp;N32,$P$5:$P$164,"&gt;-9999"),N32+20))</f>
        <v>57</v>
      </c>
      <c r="Y32">
        <f t="shared" ca="1" si="4"/>
        <v>20</v>
      </c>
      <c r="Z32" t="str">
        <f t="shared" si="5"/>
        <v/>
      </c>
      <c r="AA32" t="str">
        <f t="shared" si="6"/>
        <v>Yes</v>
      </c>
      <c r="AB32" t="str">
        <f t="shared" ca="1" si="7"/>
        <v>Yes</v>
      </c>
      <c r="AC32" t="str">
        <f t="shared" si="8"/>
        <v>Yes</v>
      </c>
      <c r="AD32" t="str">
        <f t="shared" ca="1" si="9"/>
        <v>Yes</v>
      </c>
    </row>
    <row r="33" spans="12:30">
      <c r="L33" t="str">
        <f>'Player Board'!B32</f>
        <v>Emeka Egbuka</v>
      </c>
      <c r="M33" t="str">
        <f>'Player Board'!C32</f>
        <v>WR</v>
      </c>
      <c r="N33">
        <f>'Player Board'!H32</f>
        <v>27</v>
      </c>
      <c r="O33" t="str">
        <f>'Player Board'!Q32</f>
        <v/>
      </c>
      <c r="P33">
        <f>IF(NOT(AND('Player Board'!J32="No",'Player Board'!K32="No")),-9999,(325-N33*2)+((IF(M33="QB",INDEX('Manager Profiles'!$T$5:$T$12,MATCH($B$5,'Manager Profiles'!$A$5:$A$12,0)),IF(M33="RB",INDEX('Manager Profiles'!$U$5:$U$12,MATCH($B$5,'Manager Profiles'!$A$5:$A$12,0)),IF(M33="WR",INDEX('Manager Profiles'!$V$5:$V$12,MATCH($B$5,'Manager Profiles'!$A$5:$A$12,0)),IF(M33="TE",INDEX('Manager Profiles'!$W$5:$W$12,MATCH($B$5,'Manager Profiles'!$A$5:$A$12,0)),0)))))*3)+(IF($B$6="Contender",IF('Player Board'!R32="Veteran",12,IF('Player Board'!R32="Prime",7,IF('Player Board'!R32="Young",3,-4))),IF($B$6="Rebuilder",IF('Player Board'!R32="Rookie",15,IF('Player Board'!R32="Young",10,IF('Player Board'!R32="Prime",2,-15))),IF('Player Board'!R32="Veteran",-2,IF('Player Board'!R32="Rookie",4,2)))))+MAX(-20,MIN(20,($B$4-IF(O33="",N33,O33))*2))+(IFERROR(IF(INDEX('Player Board'!$F$4:$F$163,MATCH(N33+1,'Player Board'!$H$4:$H$163,0))&gt;'Player Board'!F32,8,0),0)))</f>
        <v>-9999</v>
      </c>
      <c r="Q33">
        <f t="shared" si="0"/>
        <v>-9998.9827000000005</v>
      </c>
      <c r="R33">
        <f>IF(AND('Draft Tracker'!D32="Noah",'Draft Tracker'!A32&gt;$B$4),'Draft Tracker'!A32,9999)</f>
        <v>9999</v>
      </c>
      <c r="S33">
        <f>IF(M33="","",IF(M33="QB",INDEX('Manager Profiles'!$T$5:$T$12,MATCH("Noah",'Manager Profiles'!$A$5:$A$12,0)),IF(M33="RB",INDEX('Manager Profiles'!$U$5:$U$12,MATCH("Noah",'Manager Profiles'!$A$5:$A$12,0)),IF(M33="WR",INDEX('Manager Profiles'!$V$5:$V$12,MATCH("Noah",'Manager Profiles'!$A$5:$A$12,0)),IF(M33="TE",INDEX('Manager Profiles'!$W$5:$W$12,MATCH("Noah",'Manager Profiles'!$A$5:$A$12,0)),0)))))</f>
        <v>1</v>
      </c>
      <c r="T33">
        <f>IF(M33="","",IF(M33="QB",INDEX('Manager Profiles'!$T$5:$T$12,MATCH($B$5,'Manager Profiles'!$A$5:$A$12,0)),IF(M33="RB",INDEX('Manager Profiles'!$U$5:$U$12,MATCH($B$5,'Manager Profiles'!$A$5:$A$12,0)),IF(M33="WR",INDEX('Manager Profiles'!$V$5:$V$12,MATCH($B$5,'Manager Profiles'!$A$5:$A$12,0)),IF(M33="TE",INDEX('Manager Profiles'!$W$5:$W$12,MATCH($B$5,'Manager Profiles'!$A$5:$A$12,0)),0)))))</f>
        <v>3</v>
      </c>
      <c r="U33">
        <f t="shared" si="1"/>
        <v>-2</v>
      </c>
      <c r="V33" t="str">
        <f t="shared" si="2"/>
        <v/>
      </c>
      <c r="W33">
        <f t="shared" ca="1" si="3"/>
        <v>-9999</v>
      </c>
      <c r="X33">
        <f ca="1">IF(M33="","",IFERROR(_xludf.MINIFS($N$5:$N$164,$M$5:$M$164,M33,$N$5:$N$164,"&gt;"&amp;N33,$P$5:$P$164,"&gt;-9999"),N33+20))</f>
        <v>47</v>
      </c>
      <c r="Y33">
        <f t="shared" ca="1" si="4"/>
        <v>20</v>
      </c>
      <c r="Z33" t="str">
        <f t="shared" si="5"/>
        <v/>
      </c>
      <c r="AA33" t="str">
        <f t="shared" si="6"/>
        <v>No</v>
      </c>
      <c r="AB33" t="str">
        <f t="shared" ca="1" si="7"/>
        <v>Yes</v>
      </c>
      <c r="AC33" t="str">
        <f t="shared" si="8"/>
        <v>Yes</v>
      </c>
      <c r="AD33" t="str">
        <f t="shared" ca="1" si="9"/>
        <v>No</v>
      </c>
    </row>
    <row r="34" spans="12:30">
      <c r="L34" t="str">
        <f>'Player Board'!B33</f>
        <v>James Cook</v>
      </c>
      <c r="M34" t="str">
        <f>'Player Board'!C33</f>
        <v>RB</v>
      </c>
      <c r="N34">
        <f>'Player Board'!H33</f>
        <v>28</v>
      </c>
      <c r="O34" t="str">
        <f>'Player Board'!Q33</f>
        <v/>
      </c>
      <c r="P34">
        <f>IF(NOT(AND('Player Board'!J33="No",'Player Board'!K33="No")),-9999,(325-N34*2)+((IF(M34="QB",INDEX('Manager Profiles'!$T$5:$T$12,MATCH($B$5,'Manager Profiles'!$A$5:$A$12,0)),IF(M34="RB",INDEX('Manager Profiles'!$U$5:$U$12,MATCH($B$5,'Manager Profiles'!$A$5:$A$12,0)),IF(M34="WR",INDEX('Manager Profiles'!$V$5:$V$12,MATCH($B$5,'Manager Profiles'!$A$5:$A$12,0)),IF(M34="TE",INDEX('Manager Profiles'!$W$5:$W$12,MATCH($B$5,'Manager Profiles'!$A$5:$A$12,0)),0)))))*3)+(IF($B$6="Contender",IF('Player Board'!R33="Veteran",12,IF('Player Board'!R33="Prime",7,IF('Player Board'!R33="Young",3,-4))),IF($B$6="Rebuilder",IF('Player Board'!R33="Rookie",15,IF('Player Board'!R33="Young",10,IF('Player Board'!R33="Prime",2,-15))),IF('Player Board'!R33="Veteran",-2,IF('Player Board'!R33="Rookie",4,2)))))+MAX(-20,MIN(20,($B$4-IF(O34="",N34,O34))*2))+(IFERROR(IF(INDEX('Player Board'!$F$4:$F$163,MATCH(N34+1,'Player Board'!$H$4:$H$163,0))&gt;'Player Board'!F33,8,0),0)))</f>
        <v>-9999</v>
      </c>
      <c r="Q34">
        <f t="shared" si="0"/>
        <v>-9998.9827999999998</v>
      </c>
      <c r="R34">
        <f>IF(AND('Draft Tracker'!D33="Noah",'Draft Tracker'!A33&gt;$B$4),'Draft Tracker'!A33,9999)</f>
        <v>9999</v>
      </c>
      <c r="S34">
        <f>IF(M34="","",IF(M34="QB",INDEX('Manager Profiles'!$T$5:$T$12,MATCH("Noah",'Manager Profiles'!$A$5:$A$12,0)),IF(M34="RB",INDEX('Manager Profiles'!$U$5:$U$12,MATCH("Noah",'Manager Profiles'!$A$5:$A$12,0)),IF(M34="WR",INDEX('Manager Profiles'!$V$5:$V$12,MATCH("Noah",'Manager Profiles'!$A$5:$A$12,0)),IF(M34="TE",INDEX('Manager Profiles'!$W$5:$W$12,MATCH("Noah",'Manager Profiles'!$A$5:$A$12,0)),0)))))</f>
        <v>4</v>
      </c>
      <c r="T34">
        <f>IF(M34="","",IF(M34="QB",INDEX('Manager Profiles'!$T$5:$T$12,MATCH($B$5,'Manager Profiles'!$A$5:$A$12,0)),IF(M34="RB",INDEX('Manager Profiles'!$U$5:$U$12,MATCH($B$5,'Manager Profiles'!$A$5:$A$12,0)),IF(M34="WR",INDEX('Manager Profiles'!$V$5:$V$12,MATCH($B$5,'Manager Profiles'!$A$5:$A$12,0)),IF(M34="TE",INDEX('Manager Profiles'!$W$5:$W$12,MATCH($B$5,'Manager Profiles'!$A$5:$A$12,0)),0)))))</f>
        <v>9</v>
      </c>
      <c r="U34">
        <f t="shared" si="1"/>
        <v>-5</v>
      </c>
      <c r="V34" t="str">
        <f t="shared" si="2"/>
        <v/>
      </c>
      <c r="W34">
        <f t="shared" ca="1" si="3"/>
        <v>-9999</v>
      </c>
      <c r="X34">
        <f ca="1">IF(M34="","",IFERROR(_xludf.MINIFS($N$5:$N$164,$M$5:$M$164,M34,$N$5:$N$164,"&gt;"&amp;N34,$P$5:$P$164,"&gt;-9999"),N34+20))</f>
        <v>48</v>
      </c>
      <c r="Y34">
        <f t="shared" ca="1" si="4"/>
        <v>20</v>
      </c>
      <c r="Z34" t="str">
        <f t="shared" si="5"/>
        <v/>
      </c>
      <c r="AA34" t="str">
        <f t="shared" si="6"/>
        <v>Yes</v>
      </c>
      <c r="AB34" t="str">
        <f t="shared" ca="1" si="7"/>
        <v>Yes</v>
      </c>
      <c r="AC34" t="str">
        <f t="shared" si="8"/>
        <v>Yes</v>
      </c>
      <c r="AD34" t="str">
        <f t="shared" ca="1" si="9"/>
        <v>No</v>
      </c>
    </row>
    <row r="35" spans="12:30">
      <c r="L35" t="str">
        <f>'Player Board'!B34</f>
        <v>Jalen Hurts</v>
      </c>
      <c r="M35" t="str">
        <f>'Player Board'!C34</f>
        <v>QB</v>
      </c>
      <c r="N35">
        <f>'Player Board'!H34</f>
        <v>25</v>
      </c>
      <c r="O35" t="str">
        <f>'Player Board'!Q34</f>
        <v/>
      </c>
      <c r="P35">
        <f>IF(NOT(AND('Player Board'!J34="No",'Player Board'!K34="No")),-9999,(325-N35*2)+((IF(M35="QB",INDEX('Manager Profiles'!$T$5:$T$12,MATCH($B$5,'Manager Profiles'!$A$5:$A$12,0)),IF(M35="RB",INDEX('Manager Profiles'!$U$5:$U$12,MATCH($B$5,'Manager Profiles'!$A$5:$A$12,0)),IF(M35="WR",INDEX('Manager Profiles'!$V$5:$V$12,MATCH($B$5,'Manager Profiles'!$A$5:$A$12,0)),IF(M35="TE",INDEX('Manager Profiles'!$W$5:$W$12,MATCH($B$5,'Manager Profiles'!$A$5:$A$12,0)),0)))))*3)+(IF($B$6="Contender",IF('Player Board'!R34="Veteran",12,IF('Player Board'!R34="Prime",7,IF('Player Board'!R34="Young",3,-4))),IF($B$6="Rebuilder",IF('Player Board'!R34="Rookie",15,IF('Player Board'!R34="Young",10,IF('Player Board'!R34="Prime",2,-15))),IF('Player Board'!R34="Veteran",-2,IF('Player Board'!R34="Rookie",4,2)))))+MAX(-20,MIN(20,($B$4-IF(O35="",N35,O35))*2))+(IFERROR(IF(INDEX('Player Board'!$F$4:$F$163,MATCH(N35+1,'Player Board'!$H$4:$H$163,0))&gt;'Player Board'!F34,8,0),0)))</f>
        <v>-9999</v>
      </c>
      <c r="Q35">
        <f t="shared" si="0"/>
        <v>-9998.9825000000001</v>
      </c>
      <c r="R35">
        <f>IF(AND('Draft Tracker'!D34="Noah",'Draft Tracker'!A34&gt;$B$4),'Draft Tracker'!A34,9999)</f>
        <v>9999</v>
      </c>
      <c r="S35">
        <f>IF(M35="","",IF(M35="QB",INDEX('Manager Profiles'!$T$5:$T$12,MATCH("Noah",'Manager Profiles'!$A$5:$A$12,0)),IF(M35="RB",INDEX('Manager Profiles'!$U$5:$U$12,MATCH("Noah",'Manager Profiles'!$A$5:$A$12,0)),IF(M35="WR",INDEX('Manager Profiles'!$V$5:$V$12,MATCH("Noah",'Manager Profiles'!$A$5:$A$12,0)),IF(M35="TE",INDEX('Manager Profiles'!$W$5:$W$12,MATCH("Noah",'Manager Profiles'!$A$5:$A$12,0)),0)))))</f>
        <v>9</v>
      </c>
      <c r="T35">
        <f>IF(M35="","",IF(M35="QB",INDEX('Manager Profiles'!$T$5:$T$12,MATCH($B$5,'Manager Profiles'!$A$5:$A$12,0)),IF(M35="RB",INDEX('Manager Profiles'!$U$5:$U$12,MATCH($B$5,'Manager Profiles'!$A$5:$A$12,0)),IF(M35="WR",INDEX('Manager Profiles'!$V$5:$V$12,MATCH($B$5,'Manager Profiles'!$A$5:$A$12,0)),IF(M35="TE",INDEX('Manager Profiles'!$W$5:$W$12,MATCH($B$5,'Manager Profiles'!$A$5:$A$12,0)),0)))))</f>
        <v>2</v>
      </c>
      <c r="U35">
        <f t="shared" si="1"/>
        <v>7</v>
      </c>
      <c r="V35" t="str">
        <f t="shared" si="2"/>
        <v/>
      </c>
      <c r="W35">
        <f t="shared" ca="1" si="3"/>
        <v>-9999</v>
      </c>
      <c r="X35">
        <f ca="1">IF(M35="","",IFERROR(_xludf.MINIFS($N$5:$N$164,$M$5:$M$164,M35,$N$5:$N$164,"&gt;"&amp;N35,$P$5:$P$164,"&gt;-9999"),N35+20))</f>
        <v>45</v>
      </c>
      <c r="Y35">
        <f t="shared" ca="1" si="4"/>
        <v>20</v>
      </c>
      <c r="Z35" t="str">
        <f t="shared" si="5"/>
        <v/>
      </c>
      <c r="AA35" t="str">
        <f t="shared" si="6"/>
        <v>Yes</v>
      </c>
      <c r="AB35" t="str">
        <f t="shared" ca="1" si="7"/>
        <v>Yes</v>
      </c>
      <c r="AC35" t="str">
        <f t="shared" si="8"/>
        <v>Yes</v>
      </c>
      <c r="AD35" t="str">
        <f t="shared" ca="1" si="9"/>
        <v>Yes</v>
      </c>
    </row>
    <row r="36" spans="12:30">
      <c r="L36" t="str">
        <f>'Player Board'!B35</f>
        <v>Jonathan Taylor</v>
      </c>
      <c r="M36" t="str">
        <f>'Player Board'!C35</f>
        <v>RB</v>
      </c>
      <c r="N36">
        <f>'Player Board'!H35</f>
        <v>26</v>
      </c>
      <c r="O36" t="str">
        <f>'Player Board'!Q35</f>
        <v/>
      </c>
      <c r="P36">
        <f>IF(NOT(AND('Player Board'!J35="No",'Player Board'!K35="No")),-9999,(325-N36*2)+((IF(M36="QB",INDEX('Manager Profiles'!$T$5:$T$12,MATCH($B$5,'Manager Profiles'!$A$5:$A$12,0)),IF(M36="RB",INDEX('Manager Profiles'!$U$5:$U$12,MATCH($B$5,'Manager Profiles'!$A$5:$A$12,0)),IF(M36="WR",INDEX('Manager Profiles'!$V$5:$V$12,MATCH($B$5,'Manager Profiles'!$A$5:$A$12,0)),IF(M36="TE",INDEX('Manager Profiles'!$W$5:$W$12,MATCH($B$5,'Manager Profiles'!$A$5:$A$12,0)),0)))))*3)+(IF($B$6="Contender",IF('Player Board'!R35="Veteran",12,IF('Player Board'!R35="Prime",7,IF('Player Board'!R35="Young",3,-4))),IF($B$6="Rebuilder",IF('Player Board'!R35="Rookie",15,IF('Player Board'!R35="Young",10,IF('Player Board'!R35="Prime",2,-15))),IF('Player Board'!R35="Veteran",-2,IF('Player Board'!R35="Rookie",4,2)))))+MAX(-20,MIN(20,($B$4-IF(O36="",N36,O36))*2))+(IFERROR(IF(INDEX('Player Board'!$F$4:$F$163,MATCH(N36+1,'Player Board'!$H$4:$H$163,0))&gt;'Player Board'!F35,8,0),0)))</f>
        <v>-9999</v>
      </c>
      <c r="Q36">
        <f t="shared" si="0"/>
        <v>-9998.9825999999994</v>
      </c>
      <c r="R36">
        <f>IF(AND('Draft Tracker'!D35="Noah",'Draft Tracker'!A35&gt;$B$4),'Draft Tracker'!A35,9999)</f>
        <v>9999</v>
      </c>
      <c r="S36">
        <f>IF(M36="","",IF(M36="QB",INDEX('Manager Profiles'!$T$5:$T$12,MATCH("Noah",'Manager Profiles'!$A$5:$A$12,0)),IF(M36="RB",INDEX('Manager Profiles'!$U$5:$U$12,MATCH("Noah",'Manager Profiles'!$A$5:$A$12,0)),IF(M36="WR",INDEX('Manager Profiles'!$V$5:$V$12,MATCH("Noah",'Manager Profiles'!$A$5:$A$12,0)),IF(M36="TE",INDEX('Manager Profiles'!$W$5:$W$12,MATCH("Noah",'Manager Profiles'!$A$5:$A$12,0)),0)))))</f>
        <v>4</v>
      </c>
      <c r="T36">
        <f>IF(M36="","",IF(M36="QB",INDEX('Manager Profiles'!$T$5:$T$12,MATCH($B$5,'Manager Profiles'!$A$5:$A$12,0)),IF(M36="RB",INDEX('Manager Profiles'!$U$5:$U$12,MATCH($B$5,'Manager Profiles'!$A$5:$A$12,0)),IF(M36="WR",INDEX('Manager Profiles'!$V$5:$V$12,MATCH($B$5,'Manager Profiles'!$A$5:$A$12,0)),IF(M36="TE",INDEX('Manager Profiles'!$W$5:$W$12,MATCH($B$5,'Manager Profiles'!$A$5:$A$12,0)),0)))))</f>
        <v>9</v>
      </c>
      <c r="U36">
        <f t="shared" si="1"/>
        <v>-5</v>
      </c>
      <c r="V36" t="str">
        <f t="shared" si="2"/>
        <v/>
      </c>
      <c r="W36">
        <f t="shared" ca="1" si="3"/>
        <v>-9999</v>
      </c>
      <c r="X36">
        <f ca="1">IF(M36="","",IFERROR(_xludf.MINIFS($N$5:$N$164,$M$5:$M$164,M36,$N$5:$N$164,"&gt;"&amp;N36,$P$5:$P$164,"&gt;-9999"),N36+20))</f>
        <v>46</v>
      </c>
      <c r="Y36">
        <f t="shared" ca="1" si="4"/>
        <v>20</v>
      </c>
      <c r="Z36" t="str">
        <f t="shared" si="5"/>
        <v/>
      </c>
      <c r="AA36" t="str">
        <f t="shared" si="6"/>
        <v>Yes</v>
      </c>
      <c r="AB36" t="str">
        <f t="shared" ca="1" si="7"/>
        <v>Yes</v>
      </c>
      <c r="AC36" t="str">
        <f t="shared" si="8"/>
        <v>Yes</v>
      </c>
      <c r="AD36" t="str">
        <f t="shared" ca="1" si="9"/>
        <v>No</v>
      </c>
    </row>
    <row r="37" spans="12:30">
      <c r="L37" t="str">
        <f>'Player Board'!B36</f>
        <v>George Pickens</v>
      </c>
      <c r="M37" t="str">
        <f>'Player Board'!C36</f>
        <v>WR</v>
      </c>
      <c r="N37">
        <f>'Player Board'!H36</f>
        <v>29</v>
      </c>
      <c r="O37" t="str">
        <f>'Player Board'!Q36</f>
        <v/>
      </c>
      <c r="P37">
        <f>IF(NOT(AND('Player Board'!J36="No",'Player Board'!K36="No")),-9999,(325-N37*2)+((IF(M37="QB",INDEX('Manager Profiles'!$T$5:$T$12,MATCH($B$5,'Manager Profiles'!$A$5:$A$12,0)),IF(M37="RB",INDEX('Manager Profiles'!$U$5:$U$12,MATCH($B$5,'Manager Profiles'!$A$5:$A$12,0)),IF(M37="WR",INDEX('Manager Profiles'!$V$5:$V$12,MATCH($B$5,'Manager Profiles'!$A$5:$A$12,0)),IF(M37="TE",INDEX('Manager Profiles'!$W$5:$W$12,MATCH($B$5,'Manager Profiles'!$A$5:$A$12,0)),0)))))*3)+(IF($B$6="Contender",IF('Player Board'!R36="Veteran",12,IF('Player Board'!R36="Prime",7,IF('Player Board'!R36="Young",3,-4))),IF($B$6="Rebuilder",IF('Player Board'!R36="Rookie",15,IF('Player Board'!R36="Young",10,IF('Player Board'!R36="Prime",2,-15))),IF('Player Board'!R36="Veteran",-2,IF('Player Board'!R36="Rookie",4,2)))))+MAX(-20,MIN(20,($B$4-IF(O37="",N37,O37))*2))+(IFERROR(IF(INDEX('Player Board'!$F$4:$F$163,MATCH(N37+1,'Player Board'!$H$4:$H$163,0))&gt;'Player Board'!F36,8,0),0)))</f>
        <v>-9999</v>
      </c>
      <c r="Q37">
        <f t="shared" ref="Q37:Q68" si="15">P37+(200-N37)/10000</f>
        <v>-9998.9829000000009</v>
      </c>
      <c r="R37">
        <f>IF(AND('Draft Tracker'!D36="Noah",'Draft Tracker'!A36&gt;$B$4),'Draft Tracker'!A36,9999)</f>
        <v>9999</v>
      </c>
      <c r="S37">
        <f>IF(M37="","",IF(M37="QB",INDEX('Manager Profiles'!$T$5:$T$12,MATCH("Noah",'Manager Profiles'!$A$5:$A$12,0)),IF(M37="RB",INDEX('Manager Profiles'!$U$5:$U$12,MATCH("Noah",'Manager Profiles'!$A$5:$A$12,0)),IF(M37="WR",INDEX('Manager Profiles'!$V$5:$V$12,MATCH("Noah",'Manager Profiles'!$A$5:$A$12,0)),IF(M37="TE",INDEX('Manager Profiles'!$W$5:$W$12,MATCH("Noah",'Manager Profiles'!$A$5:$A$12,0)),0)))))</f>
        <v>1</v>
      </c>
      <c r="T37">
        <f>IF(M37="","",IF(M37="QB",INDEX('Manager Profiles'!$T$5:$T$12,MATCH($B$5,'Manager Profiles'!$A$5:$A$12,0)),IF(M37="RB",INDEX('Manager Profiles'!$U$5:$U$12,MATCH($B$5,'Manager Profiles'!$A$5:$A$12,0)),IF(M37="WR",INDEX('Manager Profiles'!$V$5:$V$12,MATCH($B$5,'Manager Profiles'!$A$5:$A$12,0)),IF(M37="TE",INDEX('Manager Profiles'!$W$5:$W$12,MATCH($B$5,'Manager Profiles'!$A$5:$A$12,0)),0)))))</f>
        <v>3</v>
      </c>
      <c r="U37">
        <f t="shared" ref="U37:U68" si="16">IF(S37="","",S37-T37)</f>
        <v>-2</v>
      </c>
      <c r="V37" t="str">
        <f t="shared" ref="V37:V68" si="17">IF(O37="","",MAX(0,$B$8-O37))</f>
        <v/>
      </c>
      <c r="W37">
        <f t="shared" ref="W37:W68" ca="1" si="18">IF(OR(L37="",P37=-9999,AD37&lt;&gt;"Yes"),-9999,ROUND(S37*6+MAX(0,U37)*7+V37*7+MIN(20,Y37)*5+MAX(0,Z37)*10+MAX(0,50-N37)/4,1))</f>
        <v>-9999</v>
      </c>
      <c r="X37">
        <f ca="1">IF(M37="","",IFERROR(_xludf.MINIFS($N$5:$N$164,$M$5:$M$164,M37,$N$5:$N$164,"&gt;"&amp;N37,$P$5:$P$164,"&gt;-9999"),N37+20))</f>
        <v>49</v>
      </c>
      <c r="Y37">
        <f t="shared" ref="Y37:Y68" ca="1" si="19">IF(X37="","",MAX(0,X37-N37))</f>
        <v>20</v>
      </c>
      <c r="Z37" t="str">
        <f t="shared" ref="Z37:Z68" si="20">IF(O37="","",$B$4-O37)</f>
        <v/>
      </c>
      <c r="AA37" t="str">
        <f t="shared" ref="AA37:AA68" si="21">IF(AND(V37&gt;0,Z37&gt;=0,S37&gt;=4,$B$5&lt;&gt;"Noah"),"Yes","No")</f>
        <v>No</v>
      </c>
      <c r="AB37" t="str">
        <f t="shared" ref="AB37:AB68" ca="1" si="22">IF(Y37&gt;=12,"Yes","No")</f>
        <v>Yes</v>
      </c>
      <c r="AC37" t="str">
        <f t="shared" ref="AC37:AC68" si="23">IF(Z37&gt;=3,"Yes","No")</f>
        <v>Yes</v>
      </c>
      <c r="AD37" t="str">
        <f t="shared" ref="AD37:AD68" ca="1" si="24">IF(AND(V37&gt;=3,S37&gt;=5,U37&gt;=3,Y37&gt;=12,Z37&gt;=3,$B$5&lt;&gt;"Noah"),"Yes","No")</f>
        <v>No</v>
      </c>
    </row>
    <row r="38" spans="12:30">
      <c r="L38" t="str">
        <f>'Player Board'!B37</f>
        <v>Carnell Tate</v>
      </c>
      <c r="M38" t="str">
        <f>'Player Board'!C37</f>
        <v>WR</v>
      </c>
      <c r="N38">
        <f>'Player Board'!H37</f>
        <v>31</v>
      </c>
      <c r="O38">
        <f>'Player Board'!Q37</f>
        <v>2</v>
      </c>
      <c r="P38">
        <f>IF(NOT(AND('Player Board'!J37="No",'Player Board'!K37="No")),-9999,(325-N38*2)+((IF(M38="QB",INDEX('Manager Profiles'!$T$5:$T$12,MATCH($B$5,'Manager Profiles'!$A$5:$A$12,0)),IF(M38="RB",INDEX('Manager Profiles'!$U$5:$U$12,MATCH($B$5,'Manager Profiles'!$A$5:$A$12,0)),IF(M38="WR",INDEX('Manager Profiles'!$V$5:$V$12,MATCH($B$5,'Manager Profiles'!$A$5:$A$12,0)),IF(M38="TE",INDEX('Manager Profiles'!$W$5:$W$12,MATCH($B$5,'Manager Profiles'!$A$5:$A$12,0)),0)))))*3)+(IF($B$6="Contender",IF('Player Board'!R37="Veteran",12,IF('Player Board'!R37="Prime",7,IF('Player Board'!R37="Young",3,-4))),IF($B$6="Rebuilder",IF('Player Board'!R37="Rookie",15,IF('Player Board'!R37="Young",10,IF('Player Board'!R37="Prime",2,-15))),IF('Player Board'!R37="Veteran",-2,IF('Player Board'!R37="Rookie",4,2)))))+MAX(-20,MIN(20,($B$4-IF(O38="",N38,O38))*2))+(IFERROR(IF(INDEX('Player Board'!$F$4:$F$163,MATCH(N38+1,'Player Board'!$H$4:$H$163,0))&gt;'Player Board'!F37,8,0),0)))</f>
        <v>274</v>
      </c>
      <c r="Q38">
        <f t="shared" si="15"/>
        <v>274.01690000000002</v>
      </c>
      <c r="R38">
        <f>IF(AND('Draft Tracker'!D37="Noah",'Draft Tracker'!A37&gt;$B$4),'Draft Tracker'!A37,9999)</f>
        <v>34</v>
      </c>
      <c r="S38">
        <f>IF(M38="","",IF(M38="QB",INDEX('Manager Profiles'!$T$5:$T$12,MATCH("Noah",'Manager Profiles'!$A$5:$A$12,0)),IF(M38="RB",INDEX('Manager Profiles'!$U$5:$U$12,MATCH("Noah",'Manager Profiles'!$A$5:$A$12,0)),IF(M38="WR",INDEX('Manager Profiles'!$V$5:$V$12,MATCH("Noah",'Manager Profiles'!$A$5:$A$12,0)),IF(M38="TE",INDEX('Manager Profiles'!$W$5:$W$12,MATCH("Noah",'Manager Profiles'!$A$5:$A$12,0)),0)))))</f>
        <v>1</v>
      </c>
      <c r="T38">
        <f>IF(M38="","",IF(M38="QB",INDEX('Manager Profiles'!$T$5:$T$12,MATCH($B$5,'Manager Profiles'!$A$5:$A$12,0)),IF(M38="RB",INDEX('Manager Profiles'!$U$5:$U$12,MATCH($B$5,'Manager Profiles'!$A$5:$A$12,0)),IF(M38="WR",INDEX('Manager Profiles'!$V$5:$V$12,MATCH($B$5,'Manager Profiles'!$A$5:$A$12,0)),IF(M38="TE",INDEX('Manager Profiles'!$W$5:$W$12,MATCH($B$5,'Manager Profiles'!$A$5:$A$12,0)),0)))))</f>
        <v>3</v>
      </c>
      <c r="U38">
        <f t="shared" si="16"/>
        <v>-2</v>
      </c>
      <c r="V38">
        <f t="shared" si="17"/>
        <v>11</v>
      </c>
      <c r="W38">
        <f t="shared" ca="1" si="18"/>
        <v>-9999</v>
      </c>
      <c r="X38">
        <f ca="1">IF(M38="","",IFERROR(_xludf.MINIFS($N$5:$N$164,$M$5:$M$164,M38,$N$5:$N$164,"&gt;"&amp;N38,$P$5:$P$164,"&gt;-9999"),N38+20))</f>
        <v>51</v>
      </c>
      <c r="Y38">
        <f t="shared" ca="1" si="19"/>
        <v>20</v>
      </c>
      <c r="Z38">
        <f t="shared" si="20"/>
        <v>-1</v>
      </c>
      <c r="AA38" t="str">
        <f t="shared" si="21"/>
        <v>No</v>
      </c>
      <c r="AB38" t="str">
        <f t="shared" ca="1" si="22"/>
        <v>Yes</v>
      </c>
      <c r="AC38" t="str">
        <f t="shared" si="23"/>
        <v>No</v>
      </c>
      <c r="AD38" t="str">
        <f t="shared" ca="1" si="24"/>
        <v>No</v>
      </c>
    </row>
    <row r="39" spans="12:30">
      <c r="L39" t="str">
        <f>'Player Board'!B38</f>
        <v>Bo Nix</v>
      </c>
      <c r="M39" t="str">
        <f>'Player Board'!C38</f>
        <v>QB</v>
      </c>
      <c r="N39">
        <f>'Player Board'!H38</f>
        <v>41</v>
      </c>
      <c r="O39" t="str">
        <f>'Player Board'!Q38</f>
        <v/>
      </c>
      <c r="P39">
        <f>IF(NOT(AND('Player Board'!J38="No",'Player Board'!K38="No")),-9999,(325-N39*2)+((IF(M39="QB",INDEX('Manager Profiles'!$T$5:$T$12,MATCH($B$5,'Manager Profiles'!$A$5:$A$12,0)),IF(M39="RB",INDEX('Manager Profiles'!$U$5:$U$12,MATCH($B$5,'Manager Profiles'!$A$5:$A$12,0)),IF(M39="WR",INDEX('Manager Profiles'!$V$5:$V$12,MATCH($B$5,'Manager Profiles'!$A$5:$A$12,0)),IF(M39="TE",INDEX('Manager Profiles'!$W$5:$W$12,MATCH($B$5,'Manager Profiles'!$A$5:$A$12,0)),0)))))*3)+(IF($B$6="Contender",IF('Player Board'!R38="Veteran",12,IF('Player Board'!R38="Prime",7,IF('Player Board'!R38="Young",3,-4))),IF($B$6="Rebuilder",IF('Player Board'!R38="Rookie",15,IF('Player Board'!R38="Young",10,IF('Player Board'!R38="Prime",2,-15))),IF('Player Board'!R38="Veteran",-2,IF('Player Board'!R38="Rookie",4,2)))))+MAX(-20,MIN(20,($B$4-IF(O39="",N39,O39))*2))+(IFERROR(IF(INDEX('Player Board'!$F$4:$F$163,MATCH(N39+1,'Player Board'!$H$4:$H$163,0))&gt;'Player Board'!F38,8,0),0)))</f>
        <v>-9999</v>
      </c>
      <c r="Q39">
        <f t="shared" si="15"/>
        <v>-9998.9840999999997</v>
      </c>
      <c r="R39">
        <f>IF(AND('Draft Tracker'!D38="Noah",'Draft Tracker'!A38&gt;$B$4),'Draft Tracker'!A38,9999)</f>
        <v>35</v>
      </c>
      <c r="S39">
        <f>IF(M39="","",IF(M39="QB",INDEX('Manager Profiles'!$T$5:$T$12,MATCH("Noah",'Manager Profiles'!$A$5:$A$12,0)),IF(M39="RB",INDEX('Manager Profiles'!$U$5:$U$12,MATCH("Noah",'Manager Profiles'!$A$5:$A$12,0)),IF(M39="WR",INDEX('Manager Profiles'!$V$5:$V$12,MATCH("Noah",'Manager Profiles'!$A$5:$A$12,0)),IF(M39="TE",INDEX('Manager Profiles'!$W$5:$W$12,MATCH("Noah",'Manager Profiles'!$A$5:$A$12,0)),0)))))</f>
        <v>9</v>
      </c>
      <c r="T39">
        <f>IF(M39="","",IF(M39="QB",INDEX('Manager Profiles'!$T$5:$T$12,MATCH($B$5,'Manager Profiles'!$A$5:$A$12,0)),IF(M39="RB",INDEX('Manager Profiles'!$U$5:$U$12,MATCH($B$5,'Manager Profiles'!$A$5:$A$12,0)),IF(M39="WR",INDEX('Manager Profiles'!$V$5:$V$12,MATCH($B$5,'Manager Profiles'!$A$5:$A$12,0)),IF(M39="TE",INDEX('Manager Profiles'!$W$5:$W$12,MATCH($B$5,'Manager Profiles'!$A$5:$A$12,0)),0)))))</f>
        <v>2</v>
      </c>
      <c r="U39">
        <f t="shared" si="16"/>
        <v>7</v>
      </c>
      <c r="V39" t="str">
        <f t="shared" si="17"/>
        <v/>
      </c>
      <c r="W39">
        <f t="shared" ca="1" si="18"/>
        <v>-9999</v>
      </c>
      <c r="X39">
        <f ca="1">IF(M39="","",IFERROR(_xludf.MINIFS($N$5:$N$164,$M$5:$M$164,M39,$N$5:$N$164,"&gt;"&amp;N39,$P$5:$P$164,"&gt;-9999"),N39+20))</f>
        <v>61</v>
      </c>
      <c r="Y39">
        <f t="shared" ca="1" si="19"/>
        <v>20</v>
      </c>
      <c r="Z39" t="str">
        <f t="shared" si="20"/>
        <v/>
      </c>
      <c r="AA39" t="str">
        <f t="shared" si="21"/>
        <v>Yes</v>
      </c>
      <c r="AB39" t="str">
        <f t="shared" ca="1" si="22"/>
        <v>Yes</v>
      </c>
      <c r="AC39" t="str">
        <f t="shared" si="23"/>
        <v>Yes</v>
      </c>
      <c r="AD39" t="str">
        <f t="shared" ca="1" si="24"/>
        <v>Yes</v>
      </c>
    </row>
    <row r="40" spans="12:30">
      <c r="L40" t="str">
        <f>'Player Board'!B39</f>
        <v>Tyler Warren</v>
      </c>
      <c r="M40" t="str">
        <f>'Player Board'!C39</f>
        <v>TE</v>
      </c>
      <c r="N40">
        <f>'Player Board'!H39</f>
        <v>40</v>
      </c>
      <c r="O40" t="str">
        <f>'Player Board'!Q39</f>
        <v/>
      </c>
      <c r="P40">
        <f>IF(NOT(AND('Player Board'!J39="No",'Player Board'!K39="No")),-9999,(325-N40*2)+((IF(M40="QB",INDEX('Manager Profiles'!$T$5:$T$12,MATCH($B$5,'Manager Profiles'!$A$5:$A$12,0)),IF(M40="RB",INDEX('Manager Profiles'!$U$5:$U$12,MATCH($B$5,'Manager Profiles'!$A$5:$A$12,0)),IF(M40="WR",INDEX('Manager Profiles'!$V$5:$V$12,MATCH($B$5,'Manager Profiles'!$A$5:$A$12,0)),IF(M40="TE",INDEX('Manager Profiles'!$W$5:$W$12,MATCH($B$5,'Manager Profiles'!$A$5:$A$12,0)),0)))))*3)+(IF($B$6="Contender",IF('Player Board'!R39="Veteran",12,IF('Player Board'!R39="Prime",7,IF('Player Board'!R39="Young",3,-4))),IF($B$6="Rebuilder",IF('Player Board'!R39="Rookie",15,IF('Player Board'!R39="Young",10,IF('Player Board'!R39="Prime",2,-15))),IF('Player Board'!R39="Veteran",-2,IF('Player Board'!R39="Rookie",4,2)))))+MAX(-20,MIN(20,($B$4-IF(O40="",N40,O40))*2))+(IFERROR(IF(INDEX('Player Board'!$F$4:$F$163,MATCH(N40+1,'Player Board'!$H$4:$H$163,0))&gt;'Player Board'!F39,8,0),0)))</f>
        <v>-9999</v>
      </c>
      <c r="Q40">
        <f t="shared" si="15"/>
        <v>-9998.9840000000004</v>
      </c>
      <c r="R40">
        <f>IF(AND('Draft Tracker'!D39="Noah",'Draft Tracker'!A39&gt;$B$4),'Draft Tracker'!A39,9999)</f>
        <v>9999</v>
      </c>
      <c r="S40">
        <f>IF(M40="","",IF(M40="QB",INDEX('Manager Profiles'!$T$5:$T$12,MATCH("Noah",'Manager Profiles'!$A$5:$A$12,0)),IF(M40="RB",INDEX('Manager Profiles'!$U$5:$U$12,MATCH("Noah",'Manager Profiles'!$A$5:$A$12,0)),IF(M40="WR",INDEX('Manager Profiles'!$V$5:$V$12,MATCH("Noah",'Manager Profiles'!$A$5:$A$12,0)),IF(M40="TE",INDEX('Manager Profiles'!$W$5:$W$12,MATCH("Noah",'Manager Profiles'!$A$5:$A$12,0)),0)))))</f>
        <v>7</v>
      </c>
      <c r="T40">
        <f>IF(M40="","",IF(M40="QB",INDEX('Manager Profiles'!$T$5:$T$12,MATCH($B$5,'Manager Profiles'!$A$5:$A$12,0)),IF(M40="RB",INDEX('Manager Profiles'!$U$5:$U$12,MATCH($B$5,'Manager Profiles'!$A$5:$A$12,0)),IF(M40="WR",INDEX('Manager Profiles'!$V$5:$V$12,MATCH($B$5,'Manager Profiles'!$A$5:$A$12,0)),IF(M40="TE",INDEX('Manager Profiles'!$W$5:$W$12,MATCH($B$5,'Manager Profiles'!$A$5:$A$12,0)),0)))))</f>
        <v>3</v>
      </c>
      <c r="U40">
        <f t="shared" si="16"/>
        <v>4</v>
      </c>
      <c r="V40" t="str">
        <f t="shared" si="17"/>
        <v/>
      </c>
      <c r="W40">
        <f t="shared" ca="1" si="18"/>
        <v>-9999</v>
      </c>
      <c r="X40">
        <f ca="1">IF(M40="","",IFERROR(_xludf.MINIFS($N$5:$N$164,$M$5:$M$164,M40,$N$5:$N$164,"&gt;"&amp;N40,$P$5:$P$164,"&gt;-9999"),N40+20))</f>
        <v>60</v>
      </c>
      <c r="Y40">
        <f t="shared" ca="1" si="19"/>
        <v>20</v>
      </c>
      <c r="Z40" t="str">
        <f t="shared" si="20"/>
        <v/>
      </c>
      <c r="AA40" t="str">
        <f t="shared" si="21"/>
        <v>Yes</v>
      </c>
      <c r="AB40" t="str">
        <f t="shared" ca="1" si="22"/>
        <v>Yes</v>
      </c>
      <c r="AC40" t="str">
        <f t="shared" si="23"/>
        <v>Yes</v>
      </c>
      <c r="AD40" t="str">
        <f t="shared" ca="1" si="24"/>
        <v>Yes</v>
      </c>
    </row>
    <row r="41" spans="12:30">
      <c r="L41" t="str">
        <f>'Player Board'!B40</f>
        <v>Brock Purdy</v>
      </c>
      <c r="M41" t="str">
        <f>'Player Board'!C40</f>
        <v>QB</v>
      </c>
      <c r="N41">
        <f>'Player Board'!H40</f>
        <v>54</v>
      </c>
      <c r="O41">
        <f>'Player Board'!Q40</f>
        <v>6</v>
      </c>
      <c r="P41">
        <f>IF(NOT(AND('Player Board'!J40="No",'Player Board'!K40="No")),-9999,(325-N41*2)+((IF(M41="QB",INDEX('Manager Profiles'!$T$5:$T$12,MATCH($B$5,'Manager Profiles'!$A$5:$A$12,0)),IF(M41="RB",INDEX('Manager Profiles'!$U$5:$U$12,MATCH($B$5,'Manager Profiles'!$A$5:$A$12,0)),IF(M41="WR",INDEX('Manager Profiles'!$V$5:$V$12,MATCH($B$5,'Manager Profiles'!$A$5:$A$12,0)),IF(M41="TE",INDEX('Manager Profiles'!$W$5:$W$12,MATCH($B$5,'Manager Profiles'!$A$5:$A$12,0)),0)))))*3)+(IF($B$6="Contender",IF('Player Board'!R40="Veteran",12,IF('Player Board'!R40="Prime",7,IF('Player Board'!R40="Young",3,-4))),IF($B$6="Rebuilder",IF('Player Board'!R40="Rookie",15,IF('Player Board'!R40="Young",10,IF('Player Board'!R40="Prime",2,-15))),IF('Player Board'!R40="Veteran",-2,IF('Player Board'!R40="Rookie",4,2)))))+MAX(-20,MIN(20,($B$4-IF(O41="",N41,O41))*2))+(IFERROR(IF(INDEX('Player Board'!$F$4:$F$163,MATCH(N41+1,'Player Board'!$H$4:$H$163,0))&gt;'Player Board'!F40,8,0),0)))</f>
        <v>215</v>
      </c>
      <c r="Q41">
        <f t="shared" si="15"/>
        <v>215.0146</v>
      </c>
      <c r="R41">
        <f>IF(AND('Draft Tracker'!D40="Noah",'Draft Tracker'!A40&gt;$B$4),'Draft Tracker'!A40,9999)</f>
        <v>9999</v>
      </c>
      <c r="S41">
        <f>IF(M41="","",IF(M41="QB",INDEX('Manager Profiles'!$T$5:$T$12,MATCH("Noah",'Manager Profiles'!$A$5:$A$12,0)),IF(M41="RB",INDEX('Manager Profiles'!$U$5:$U$12,MATCH("Noah",'Manager Profiles'!$A$5:$A$12,0)),IF(M41="WR",INDEX('Manager Profiles'!$V$5:$V$12,MATCH("Noah",'Manager Profiles'!$A$5:$A$12,0)),IF(M41="TE",INDEX('Manager Profiles'!$W$5:$W$12,MATCH("Noah",'Manager Profiles'!$A$5:$A$12,0)),0)))))</f>
        <v>9</v>
      </c>
      <c r="T41">
        <f>IF(M41="","",IF(M41="QB",INDEX('Manager Profiles'!$T$5:$T$12,MATCH($B$5,'Manager Profiles'!$A$5:$A$12,0)),IF(M41="RB",INDEX('Manager Profiles'!$U$5:$U$12,MATCH($B$5,'Manager Profiles'!$A$5:$A$12,0)),IF(M41="WR",INDEX('Manager Profiles'!$V$5:$V$12,MATCH($B$5,'Manager Profiles'!$A$5:$A$12,0)),IF(M41="TE",INDEX('Manager Profiles'!$W$5:$W$12,MATCH($B$5,'Manager Profiles'!$A$5:$A$12,0)),0)))))</f>
        <v>2</v>
      </c>
      <c r="U41">
        <f t="shared" si="16"/>
        <v>7</v>
      </c>
      <c r="V41">
        <f t="shared" si="17"/>
        <v>7</v>
      </c>
      <c r="W41">
        <f t="shared" ca="1" si="18"/>
        <v>-9999</v>
      </c>
      <c r="X41">
        <f ca="1">IF(M41="","",IFERROR(_xludf.MINIFS($N$5:$N$164,$M$5:$M$164,M41,$N$5:$N$164,"&gt;"&amp;N41,$P$5:$P$164,"&gt;-9999"),N41+20))</f>
        <v>74</v>
      </c>
      <c r="Y41">
        <f t="shared" ca="1" si="19"/>
        <v>20</v>
      </c>
      <c r="Z41">
        <f t="shared" si="20"/>
        <v>-5</v>
      </c>
      <c r="AA41" t="str">
        <f t="shared" si="21"/>
        <v>No</v>
      </c>
      <c r="AB41" t="str">
        <f t="shared" ca="1" si="22"/>
        <v>Yes</v>
      </c>
      <c r="AC41" t="str">
        <f t="shared" si="23"/>
        <v>No</v>
      </c>
      <c r="AD41" t="str">
        <f t="shared" ca="1" si="24"/>
        <v>No</v>
      </c>
    </row>
    <row r="42" spans="12:30">
      <c r="L42" t="str">
        <f>'Player Board'!B41</f>
        <v>Garrett Wilson</v>
      </c>
      <c r="M42" t="str">
        <f>'Player Board'!C41</f>
        <v>WR</v>
      </c>
      <c r="N42">
        <f>'Player Board'!H41</f>
        <v>38</v>
      </c>
      <c r="O42" t="str">
        <f>'Player Board'!Q41</f>
        <v/>
      </c>
      <c r="P42">
        <f>IF(NOT(AND('Player Board'!J41="No",'Player Board'!K41="No")),-9999,(325-N42*2)+((IF(M42="QB",INDEX('Manager Profiles'!$T$5:$T$12,MATCH($B$5,'Manager Profiles'!$A$5:$A$12,0)),IF(M42="RB",INDEX('Manager Profiles'!$U$5:$U$12,MATCH($B$5,'Manager Profiles'!$A$5:$A$12,0)),IF(M42="WR",INDEX('Manager Profiles'!$V$5:$V$12,MATCH($B$5,'Manager Profiles'!$A$5:$A$12,0)),IF(M42="TE",INDEX('Manager Profiles'!$W$5:$W$12,MATCH($B$5,'Manager Profiles'!$A$5:$A$12,0)),0)))))*3)+(IF($B$6="Contender",IF('Player Board'!R41="Veteran",12,IF('Player Board'!R41="Prime",7,IF('Player Board'!R41="Young",3,-4))),IF($B$6="Rebuilder",IF('Player Board'!R41="Rookie",15,IF('Player Board'!R41="Young",10,IF('Player Board'!R41="Prime",2,-15))),IF('Player Board'!R41="Veteran",-2,IF('Player Board'!R41="Rookie",4,2)))))+MAX(-20,MIN(20,($B$4-IF(O42="",N42,O42))*2))+(IFERROR(IF(INDEX('Player Board'!$F$4:$F$163,MATCH(N42+1,'Player Board'!$H$4:$H$163,0))&gt;'Player Board'!F41,8,0),0)))</f>
        <v>-9999</v>
      </c>
      <c r="Q42">
        <f t="shared" si="15"/>
        <v>-9998.9838</v>
      </c>
      <c r="R42">
        <f>IF(AND('Draft Tracker'!D41="Noah",'Draft Tracker'!A41&gt;$B$4),'Draft Tracker'!A41,9999)</f>
        <v>9999</v>
      </c>
      <c r="S42">
        <f>IF(M42="","",IF(M42="QB",INDEX('Manager Profiles'!$T$5:$T$12,MATCH("Noah",'Manager Profiles'!$A$5:$A$12,0)),IF(M42="RB",INDEX('Manager Profiles'!$U$5:$U$12,MATCH("Noah",'Manager Profiles'!$A$5:$A$12,0)),IF(M42="WR",INDEX('Manager Profiles'!$V$5:$V$12,MATCH("Noah",'Manager Profiles'!$A$5:$A$12,0)),IF(M42="TE",INDEX('Manager Profiles'!$W$5:$W$12,MATCH("Noah",'Manager Profiles'!$A$5:$A$12,0)),0)))))</f>
        <v>1</v>
      </c>
      <c r="T42">
        <f>IF(M42="","",IF(M42="QB",INDEX('Manager Profiles'!$T$5:$T$12,MATCH($B$5,'Manager Profiles'!$A$5:$A$12,0)),IF(M42="RB",INDEX('Manager Profiles'!$U$5:$U$12,MATCH($B$5,'Manager Profiles'!$A$5:$A$12,0)),IF(M42="WR",INDEX('Manager Profiles'!$V$5:$V$12,MATCH($B$5,'Manager Profiles'!$A$5:$A$12,0)),IF(M42="TE",INDEX('Manager Profiles'!$W$5:$W$12,MATCH($B$5,'Manager Profiles'!$A$5:$A$12,0)),0)))))</f>
        <v>3</v>
      </c>
      <c r="U42">
        <f t="shared" si="16"/>
        <v>-2</v>
      </c>
      <c r="V42" t="str">
        <f t="shared" si="17"/>
        <v/>
      </c>
      <c r="W42">
        <f t="shared" ca="1" si="18"/>
        <v>-9999</v>
      </c>
      <c r="X42">
        <f ca="1">IF(M42="","",IFERROR(_xludf.MINIFS($N$5:$N$164,$M$5:$M$164,M42,$N$5:$N$164,"&gt;"&amp;N42,$P$5:$P$164,"&gt;-9999"),N42+20))</f>
        <v>58</v>
      </c>
      <c r="Y42">
        <f t="shared" ca="1" si="19"/>
        <v>20</v>
      </c>
      <c r="Z42" t="str">
        <f t="shared" si="20"/>
        <v/>
      </c>
      <c r="AA42" t="str">
        <f t="shared" si="21"/>
        <v>No</v>
      </c>
      <c r="AB42" t="str">
        <f t="shared" ca="1" si="22"/>
        <v>Yes</v>
      </c>
      <c r="AC42" t="str">
        <f t="shared" si="23"/>
        <v>Yes</v>
      </c>
      <c r="AD42" t="str">
        <f t="shared" ca="1" si="24"/>
        <v>No</v>
      </c>
    </row>
    <row r="43" spans="12:30">
      <c r="L43" t="str">
        <f>'Player Board'!B42</f>
        <v>Nico Collins</v>
      </c>
      <c r="M43" t="str">
        <f>'Player Board'!C42</f>
        <v>WR</v>
      </c>
      <c r="N43">
        <f>'Player Board'!H42</f>
        <v>32</v>
      </c>
      <c r="O43" t="str">
        <f>'Player Board'!Q42</f>
        <v/>
      </c>
      <c r="P43">
        <f>IF(NOT(AND('Player Board'!J42="No",'Player Board'!K42="No")),-9999,(325-N43*2)+((IF(M43="QB",INDEX('Manager Profiles'!$T$5:$T$12,MATCH($B$5,'Manager Profiles'!$A$5:$A$12,0)),IF(M43="RB",INDEX('Manager Profiles'!$U$5:$U$12,MATCH($B$5,'Manager Profiles'!$A$5:$A$12,0)),IF(M43="WR",INDEX('Manager Profiles'!$V$5:$V$12,MATCH($B$5,'Manager Profiles'!$A$5:$A$12,0)),IF(M43="TE",INDEX('Manager Profiles'!$W$5:$W$12,MATCH($B$5,'Manager Profiles'!$A$5:$A$12,0)),0)))))*3)+(IF($B$6="Contender",IF('Player Board'!R42="Veteran",12,IF('Player Board'!R42="Prime",7,IF('Player Board'!R42="Young",3,-4))),IF($B$6="Rebuilder",IF('Player Board'!R42="Rookie",15,IF('Player Board'!R42="Young",10,IF('Player Board'!R42="Prime",2,-15))),IF('Player Board'!R42="Veteran",-2,IF('Player Board'!R42="Rookie",4,2)))))+MAX(-20,MIN(20,($B$4-IF(O43="",N43,O43))*2))+(IFERROR(IF(INDEX('Player Board'!$F$4:$F$163,MATCH(N43+1,'Player Board'!$H$4:$H$163,0))&gt;'Player Board'!F42,8,0),0)))</f>
        <v>-9999</v>
      </c>
      <c r="Q43">
        <f t="shared" si="15"/>
        <v>-9998.9832000000006</v>
      </c>
      <c r="R43">
        <f>IF(AND('Draft Tracker'!D42="Noah",'Draft Tracker'!A42&gt;$B$4),'Draft Tracker'!A42,9999)</f>
        <v>9999</v>
      </c>
      <c r="S43">
        <f>IF(M43="","",IF(M43="QB",INDEX('Manager Profiles'!$T$5:$T$12,MATCH("Noah",'Manager Profiles'!$A$5:$A$12,0)),IF(M43="RB",INDEX('Manager Profiles'!$U$5:$U$12,MATCH("Noah",'Manager Profiles'!$A$5:$A$12,0)),IF(M43="WR",INDEX('Manager Profiles'!$V$5:$V$12,MATCH("Noah",'Manager Profiles'!$A$5:$A$12,0)),IF(M43="TE",INDEX('Manager Profiles'!$W$5:$W$12,MATCH("Noah",'Manager Profiles'!$A$5:$A$12,0)),0)))))</f>
        <v>1</v>
      </c>
      <c r="T43">
        <f>IF(M43="","",IF(M43="QB",INDEX('Manager Profiles'!$T$5:$T$12,MATCH($B$5,'Manager Profiles'!$A$5:$A$12,0)),IF(M43="RB",INDEX('Manager Profiles'!$U$5:$U$12,MATCH($B$5,'Manager Profiles'!$A$5:$A$12,0)),IF(M43="WR",INDEX('Manager Profiles'!$V$5:$V$12,MATCH($B$5,'Manager Profiles'!$A$5:$A$12,0)),IF(M43="TE",INDEX('Manager Profiles'!$W$5:$W$12,MATCH($B$5,'Manager Profiles'!$A$5:$A$12,0)),0)))))</f>
        <v>3</v>
      </c>
      <c r="U43">
        <f t="shared" si="16"/>
        <v>-2</v>
      </c>
      <c r="V43" t="str">
        <f t="shared" si="17"/>
        <v/>
      </c>
      <c r="W43">
        <f t="shared" ca="1" si="18"/>
        <v>-9999</v>
      </c>
      <c r="X43">
        <f ca="1">IF(M43="","",IFERROR(_xludf.MINIFS($N$5:$N$164,$M$5:$M$164,M43,$N$5:$N$164,"&gt;"&amp;N43,$P$5:$P$164,"&gt;-9999"),N43+20))</f>
        <v>52</v>
      </c>
      <c r="Y43">
        <f t="shared" ca="1" si="19"/>
        <v>20</v>
      </c>
      <c r="Z43" t="str">
        <f t="shared" si="20"/>
        <v/>
      </c>
      <c r="AA43" t="str">
        <f t="shared" si="21"/>
        <v>No</v>
      </c>
      <c r="AB43" t="str">
        <f t="shared" ca="1" si="22"/>
        <v>Yes</v>
      </c>
      <c r="AC43" t="str">
        <f t="shared" si="23"/>
        <v>Yes</v>
      </c>
      <c r="AD43" t="str">
        <f t="shared" ca="1" si="24"/>
        <v>No</v>
      </c>
    </row>
    <row r="44" spans="12:30">
      <c r="L44" t="str">
        <f>'Player Board'!B43</f>
        <v>Ladd McConkey</v>
      </c>
      <c r="M44" t="str">
        <f>'Player Board'!C43</f>
        <v>WR</v>
      </c>
      <c r="N44">
        <f>'Player Board'!H43</f>
        <v>33</v>
      </c>
      <c r="O44" t="str">
        <f>'Player Board'!Q43</f>
        <v/>
      </c>
      <c r="P44">
        <f>IF(NOT(AND('Player Board'!J43="No",'Player Board'!K43="No")),-9999,(325-N44*2)+((IF(M44="QB",INDEX('Manager Profiles'!$T$5:$T$12,MATCH($B$5,'Manager Profiles'!$A$5:$A$12,0)),IF(M44="RB",INDEX('Manager Profiles'!$U$5:$U$12,MATCH($B$5,'Manager Profiles'!$A$5:$A$12,0)),IF(M44="WR",INDEX('Manager Profiles'!$V$5:$V$12,MATCH($B$5,'Manager Profiles'!$A$5:$A$12,0)),IF(M44="TE",INDEX('Manager Profiles'!$W$5:$W$12,MATCH($B$5,'Manager Profiles'!$A$5:$A$12,0)),0)))))*3)+(IF($B$6="Contender",IF('Player Board'!R43="Veteran",12,IF('Player Board'!R43="Prime",7,IF('Player Board'!R43="Young",3,-4))),IF($B$6="Rebuilder",IF('Player Board'!R43="Rookie",15,IF('Player Board'!R43="Young",10,IF('Player Board'!R43="Prime",2,-15))),IF('Player Board'!R43="Veteran",-2,IF('Player Board'!R43="Rookie",4,2)))))+MAX(-20,MIN(20,($B$4-IF(O44="",N44,O44))*2))+(IFERROR(IF(INDEX('Player Board'!$F$4:$F$163,MATCH(N44+1,'Player Board'!$H$4:$H$163,0))&gt;'Player Board'!F43,8,0),0)))</f>
        <v>-9999</v>
      </c>
      <c r="Q44">
        <f t="shared" si="15"/>
        <v>-9998.9832999999999</v>
      </c>
      <c r="R44">
        <f>IF(AND('Draft Tracker'!D43="Noah",'Draft Tracker'!A43&gt;$B$4),'Draft Tracker'!A43,9999)</f>
        <v>9999</v>
      </c>
      <c r="S44">
        <f>IF(M44="","",IF(M44="QB",INDEX('Manager Profiles'!$T$5:$T$12,MATCH("Noah",'Manager Profiles'!$A$5:$A$12,0)),IF(M44="RB",INDEX('Manager Profiles'!$U$5:$U$12,MATCH("Noah",'Manager Profiles'!$A$5:$A$12,0)),IF(M44="WR",INDEX('Manager Profiles'!$V$5:$V$12,MATCH("Noah",'Manager Profiles'!$A$5:$A$12,0)),IF(M44="TE",INDEX('Manager Profiles'!$W$5:$W$12,MATCH("Noah",'Manager Profiles'!$A$5:$A$12,0)),0)))))</f>
        <v>1</v>
      </c>
      <c r="T44">
        <f>IF(M44="","",IF(M44="QB",INDEX('Manager Profiles'!$T$5:$T$12,MATCH($B$5,'Manager Profiles'!$A$5:$A$12,0)),IF(M44="RB",INDEX('Manager Profiles'!$U$5:$U$12,MATCH($B$5,'Manager Profiles'!$A$5:$A$12,0)),IF(M44="WR",INDEX('Manager Profiles'!$V$5:$V$12,MATCH($B$5,'Manager Profiles'!$A$5:$A$12,0)),IF(M44="TE",INDEX('Manager Profiles'!$W$5:$W$12,MATCH($B$5,'Manager Profiles'!$A$5:$A$12,0)),0)))))</f>
        <v>3</v>
      </c>
      <c r="U44">
        <f t="shared" si="16"/>
        <v>-2</v>
      </c>
      <c r="V44" t="str">
        <f t="shared" si="17"/>
        <v/>
      </c>
      <c r="W44">
        <f t="shared" ca="1" si="18"/>
        <v>-9999</v>
      </c>
      <c r="X44">
        <f ca="1">IF(M44="","",IFERROR(_xludf.MINIFS($N$5:$N$164,$M$5:$M$164,M44,$N$5:$N$164,"&gt;"&amp;N44,$P$5:$P$164,"&gt;-9999"),N44+20))</f>
        <v>53</v>
      </c>
      <c r="Y44">
        <f t="shared" ca="1" si="19"/>
        <v>20</v>
      </c>
      <c r="Z44" t="str">
        <f t="shared" si="20"/>
        <v/>
      </c>
      <c r="AA44" t="str">
        <f t="shared" si="21"/>
        <v>No</v>
      </c>
      <c r="AB44" t="str">
        <f t="shared" ca="1" si="22"/>
        <v>Yes</v>
      </c>
      <c r="AC44" t="str">
        <f t="shared" si="23"/>
        <v>Yes</v>
      </c>
      <c r="AD44" t="str">
        <f t="shared" ca="1" si="24"/>
        <v>No</v>
      </c>
    </row>
    <row r="45" spans="12:30">
      <c r="L45" t="str">
        <f>'Player Board'!B44</f>
        <v>Quinshon Judkins</v>
      </c>
      <c r="M45" t="str">
        <f>'Player Board'!C44</f>
        <v>RB</v>
      </c>
      <c r="N45">
        <f>'Player Board'!H44</f>
        <v>49</v>
      </c>
      <c r="O45" t="str">
        <f>'Player Board'!Q44</f>
        <v/>
      </c>
      <c r="P45">
        <f>IF(NOT(AND('Player Board'!J44="No",'Player Board'!K44="No")),-9999,(325-N45*2)+((IF(M45="QB",INDEX('Manager Profiles'!$T$5:$T$12,MATCH($B$5,'Manager Profiles'!$A$5:$A$12,0)),IF(M45="RB",INDEX('Manager Profiles'!$U$5:$U$12,MATCH($B$5,'Manager Profiles'!$A$5:$A$12,0)),IF(M45="WR",INDEX('Manager Profiles'!$V$5:$V$12,MATCH($B$5,'Manager Profiles'!$A$5:$A$12,0)),IF(M45="TE",INDEX('Manager Profiles'!$W$5:$W$12,MATCH($B$5,'Manager Profiles'!$A$5:$A$12,0)),0)))))*3)+(IF($B$6="Contender",IF('Player Board'!R44="Veteran",12,IF('Player Board'!R44="Prime",7,IF('Player Board'!R44="Young",3,-4))),IF($B$6="Rebuilder",IF('Player Board'!R44="Rookie",15,IF('Player Board'!R44="Young",10,IF('Player Board'!R44="Prime",2,-15))),IF('Player Board'!R44="Veteran",-2,IF('Player Board'!R44="Rookie",4,2)))))+MAX(-20,MIN(20,($B$4-IF(O45="",N45,O45))*2))+(IFERROR(IF(INDEX('Player Board'!$F$4:$F$163,MATCH(N45+1,'Player Board'!$H$4:$H$163,0))&gt;'Player Board'!F44,8,0),0)))</f>
        <v>-9999</v>
      </c>
      <c r="Q45">
        <f t="shared" si="15"/>
        <v>-9998.9848999999995</v>
      </c>
      <c r="R45">
        <f>IF(AND('Draft Tracker'!D44="Noah",'Draft Tracker'!A44&gt;$B$4),'Draft Tracker'!A44,9999)</f>
        <v>9999</v>
      </c>
      <c r="S45">
        <f>IF(M45="","",IF(M45="QB",INDEX('Manager Profiles'!$T$5:$T$12,MATCH("Noah",'Manager Profiles'!$A$5:$A$12,0)),IF(M45="RB",INDEX('Manager Profiles'!$U$5:$U$12,MATCH("Noah",'Manager Profiles'!$A$5:$A$12,0)),IF(M45="WR",INDEX('Manager Profiles'!$V$5:$V$12,MATCH("Noah",'Manager Profiles'!$A$5:$A$12,0)),IF(M45="TE",INDEX('Manager Profiles'!$W$5:$W$12,MATCH("Noah",'Manager Profiles'!$A$5:$A$12,0)),0)))))</f>
        <v>4</v>
      </c>
      <c r="T45">
        <f>IF(M45="","",IF(M45="QB",INDEX('Manager Profiles'!$T$5:$T$12,MATCH($B$5,'Manager Profiles'!$A$5:$A$12,0)),IF(M45="RB",INDEX('Manager Profiles'!$U$5:$U$12,MATCH($B$5,'Manager Profiles'!$A$5:$A$12,0)),IF(M45="WR",INDEX('Manager Profiles'!$V$5:$V$12,MATCH($B$5,'Manager Profiles'!$A$5:$A$12,0)),IF(M45="TE",INDEX('Manager Profiles'!$W$5:$W$12,MATCH($B$5,'Manager Profiles'!$A$5:$A$12,0)),0)))))</f>
        <v>9</v>
      </c>
      <c r="U45">
        <f t="shared" si="16"/>
        <v>-5</v>
      </c>
      <c r="V45" t="str">
        <f t="shared" si="17"/>
        <v/>
      </c>
      <c r="W45">
        <f t="shared" ca="1" si="18"/>
        <v>-9999</v>
      </c>
      <c r="X45">
        <f ca="1">IF(M45="","",IFERROR(_xludf.MINIFS($N$5:$N$164,$M$5:$M$164,M45,$N$5:$N$164,"&gt;"&amp;N45,$P$5:$P$164,"&gt;-9999"),N45+20))</f>
        <v>69</v>
      </c>
      <c r="Y45">
        <f t="shared" ca="1" si="19"/>
        <v>20</v>
      </c>
      <c r="Z45" t="str">
        <f t="shared" si="20"/>
        <v/>
      </c>
      <c r="AA45" t="str">
        <f t="shared" si="21"/>
        <v>Yes</v>
      </c>
      <c r="AB45" t="str">
        <f t="shared" ca="1" si="22"/>
        <v>Yes</v>
      </c>
      <c r="AC45" t="str">
        <f t="shared" si="23"/>
        <v>Yes</v>
      </c>
      <c r="AD45" t="str">
        <f t="shared" ca="1" si="24"/>
        <v>No</v>
      </c>
    </row>
    <row r="46" spans="12:30">
      <c r="L46" t="str">
        <f>'Player Board'!B45</f>
        <v>Kenneth Walker III</v>
      </c>
      <c r="M46" t="str">
        <f>'Player Board'!C45</f>
        <v>RB</v>
      </c>
      <c r="N46">
        <f>'Player Board'!H45</f>
        <v>43</v>
      </c>
      <c r="O46" t="str">
        <f>'Player Board'!Q45</f>
        <v/>
      </c>
      <c r="P46">
        <f>IF(NOT(AND('Player Board'!J45="No",'Player Board'!K45="No")),-9999,(325-N46*2)+((IF(M46="QB",INDEX('Manager Profiles'!$T$5:$T$12,MATCH($B$5,'Manager Profiles'!$A$5:$A$12,0)),IF(M46="RB",INDEX('Manager Profiles'!$U$5:$U$12,MATCH($B$5,'Manager Profiles'!$A$5:$A$12,0)),IF(M46="WR",INDEX('Manager Profiles'!$V$5:$V$12,MATCH($B$5,'Manager Profiles'!$A$5:$A$12,0)),IF(M46="TE",INDEX('Manager Profiles'!$W$5:$W$12,MATCH($B$5,'Manager Profiles'!$A$5:$A$12,0)),0)))))*3)+(IF($B$6="Contender",IF('Player Board'!R45="Veteran",12,IF('Player Board'!R45="Prime",7,IF('Player Board'!R45="Young",3,-4))),IF($B$6="Rebuilder",IF('Player Board'!R45="Rookie",15,IF('Player Board'!R45="Young",10,IF('Player Board'!R45="Prime",2,-15))),IF('Player Board'!R45="Veteran",-2,IF('Player Board'!R45="Rookie",4,2)))))+MAX(-20,MIN(20,($B$4-IF(O46="",N46,O46))*2))+(IFERROR(IF(INDEX('Player Board'!$F$4:$F$163,MATCH(N46+1,'Player Board'!$H$4:$H$163,0))&gt;'Player Board'!F45,8,0),0)))</f>
        <v>-9999</v>
      </c>
      <c r="Q46">
        <f t="shared" si="15"/>
        <v>-9998.9843000000001</v>
      </c>
      <c r="R46">
        <f>IF(AND('Draft Tracker'!D45="Noah",'Draft Tracker'!A45&gt;$B$4),'Draft Tracker'!A45,9999)</f>
        <v>9999</v>
      </c>
      <c r="S46">
        <f>IF(M46="","",IF(M46="QB",INDEX('Manager Profiles'!$T$5:$T$12,MATCH("Noah",'Manager Profiles'!$A$5:$A$12,0)),IF(M46="RB",INDEX('Manager Profiles'!$U$5:$U$12,MATCH("Noah",'Manager Profiles'!$A$5:$A$12,0)),IF(M46="WR",INDEX('Manager Profiles'!$V$5:$V$12,MATCH("Noah",'Manager Profiles'!$A$5:$A$12,0)),IF(M46="TE",INDEX('Manager Profiles'!$W$5:$W$12,MATCH("Noah",'Manager Profiles'!$A$5:$A$12,0)),0)))))</f>
        <v>4</v>
      </c>
      <c r="T46">
        <f>IF(M46="","",IF(M46="QB",INDEX('Manager Profiles'!$T$5:$T$12,MATCH($B$5,'Manager Profiles'!$A$5:$A$12,0)),IF(M46="RB",INDEX('Manager Profiles'!$U$5:$U$12,MATCH($B$5,'Manager Profiles'!$A$5:$A$12,0)),IF(M46="WR",INDEX('Manager Profiles'!$V$5:$V$12,MATCH($B$5,'Manager Profiles'!$A$5:$A$12,0)),IF(M46="TE",INDEX('Manager Profiles'!$W$5:$W$12,MATCH($B$5,'Manager Profiles'!$A$5:$A$12,0)),0)))))</f>
        <v>9</v>
      </c>
      <c r="U46">
        <f t="shared" si="16"/>
        <v>-5</v>
      </c>
      <c r="V46" t="str">
        <f t="shared" si="17"/>
        <v/>
      </c>
      <c r="W46">
        <f t="shared" ca="1" si="18"/>
        <v>-9999</v>
      </c>
      <c r="X46">
        <f ca="1">IF(M46="","",IFERROR(_xludf.MINIFS($N$5:$N$164,$M$5:$M$164,M46,$N$5:$N$164,"&gt;"&amp;N46,$P$5:$P$164,"&gt;-9999"),N46+20))</f>
        <v>63</v>
      </c>
      <c r="Y46">
        <f t="shared" ca="1" si="19"/>
        <v>20</v>
      </c>
      <c r="Z46" t="str">
        <f t="shared" si="20"/>
        <v/>
      </c>
      <c r="AA46" t="str">
        <f t="shared" si="21"/>
        <v>Yes</v>
      </c>
      <c r="AB46" t="str">
        <f t="shared" ca="1" si="22"/>
        <v>Yes</v>
      </c>
      <c r="AC46" t="str">
        <f t="shared" si="23"/>
        <v>Yes</v>
      </c>
      <c r="AD46" t="str">
        <f t="shared" ca="1" si="24"/>
        <v>No</v>
      </c>
    </row>
    <row r="47" spans="12:30">
      <c r="L47" t="str">
        <f>'Player Board'!B46</f>
        <v>Jordan Love</v>
      </c>
      <c r="M47" t="str">
        <f>'Player Board'!C46</f>
        <v>QB</v>
      </c>
      <c r="N47">
        <f>'Player Board'!H46</f>
        <v>62</v>
      </c>
      <c r="O47" t="str">
        <f>'Player Board'!Q46</f>
        <v/>
      </c>
      <c r="P47">
        <f>IF(NOT(AND('Player Board'!J46="No",'Player Board'!K46="No")),-9999,(325-N47*2)+((IF(M47="QB",INDEX('Manager Profiles'!$T$5:$T$12,MATCH($B$5,'Manager Profiles'!$A$5:$A$12,0)),IF(M47="RB",INDEX('Manager Profiles'!$U$5:$U$12,MATCH($B$5,'Manager Profiles'!$A$5:$A$12,0)),IF(M47="WR",INDEX('Manager Profiles'!$V$5:$V$12,MATCH($B$5,'Manager Profiles'!$A$5:$A$12,0)),IF(M47="TE",INDEX('Manager Profiles'!$W$5:$W$12,MATCH($B$5,'Manager Profiles'!$A$5:$A$12,0)),0)))))*3)+(IF($B$6="Contender",IF('Player Board'!R46="Veteran",12,IF('Player Board'!R46="Prime",7,IF('Player Board'!R46="Young",3,-4))),IF($B$6="Rebuilder",IF('Player Board'!R46="Rookie",15,IF('Player Board'!R46="Young",10,IF('Player Board'!R46="Prime",2,-15))),IF('Player Board'!R46="Veteran",-2,IF('Player Board'!R46="Rookie",4,2)))))+MAX(-20,MIN(20,($B$4-IF(O47="",N47,O47))*2))+(IFERROR(IF(INDEX('Player Board'!$F$4:$F$163,MATCH(N47+1,'Player Board'!$H$4:$H$163,0))&gt;'Player Board'!F46,8,0),0)))</f>
        <v>-9999</v>
      </c>
      <c r="Q47">
        <f t="shared" si="15"/>
        <v>-9998.9861999999994</v>
      </c>
      <c r="R47">
        <f>IF(AND('Draft Tracker'!D46="Noah",'Draft Tracker'!A46&gt;$B$4),'Draft Tracker'!A46,9999)</f>
        <v>9999</v>
      </c>
      <c r="S47">
        <f>IF(M47="","",IF(M47="QB",INDEX('Manager Profiles'!$T$5:$T$12,MATCH("Noah",'Manager Profiles'!$A$5:$A$12,0)),IF(M47="RB",INDEX('Manager Profiles'!$U$5:$U$12,MATCH("Noah",'Manager Profiles'!$A$5:$A$12,0)),IF(M47="WR",INDEX('Manager Profiles'!$V$5:$V$12,MATCH("Noah",'Manager Profiles'!$A$5:$A$12,0)),IF(M47="TE",INDEX('Manager Profiles'!$W$5:$W$12,MATCH("Noah",'Manager Profiles'!$A$5:$A$12,0)),0)))))</f>
        <v>9</v>
      </c>
      <c r="T47">
        <f>IF(M47="","",IF(M47="QB",INDEX('Manager Profiles'!$T$5:$T$12,MATCH($B$5,'Manager Profiles'!$A$5:$A$12,0)),IF(M47="RB",INDEX('Manager Profiles'!$U$5:$U$12,MATCH($B$5,'Manager Profiles'!$A$5:$A$12,0)),IF(M47="WR",INDEX('Manager Profiles'!$V$5:$V$12,MATCH($B$5,'Manager Profiles'!$A$5:$A$12,0)),IF(M47="TE",INDEX('Manager Profiles'!$W$5:$W$12,MATCH($B$5,'Manager Profiles'!$A$5:$A$12,0)),0)))))</f>
        <v>2</v>
      </c>
      <c r="U47">
        <f t="shared" si="16"/>
        <v>7</v>
      </c>
      <c r="V47" t="str">
        <f t="shared" si="17"/>
        <v/>
      </c>
      <c r="W47">
        <f t="shared" ca="1" si="18"/>
        <v>-9999</v>
      </c>
      <c r="X47">
        <f ca="1">IF(M47="","",IFERROR(_xludf.MINIFS($N$5:$N$164,$M$5:$M$164,M47,$N$5:$N$164,"&gt;"&amp;N47,$P$5:$P$164,"&gt;-9999"),N47+20))</f>
        <v>82</v>
      </c>
      <c r="Y47">
        <f t="shared" ca="1" si="19"/>
        <v>20</v>
      </c>
      <c r="Z47" t="str">
        <f t="shared" si="20"/>
        <v/>
      </c>
      <c r="AA47" t="str">
        <f t="shared" si="21"/>
        <v>Yes</v>
      </c>
      <c r="AB47" t="str">
        <f t="shared" ca="1" si="22"/>
        <v>Yes</v>
      </c>
      <c r="AC47" t="str">
        <f t="shared" si="23"/>
        <v>Yes</v>
      </c>
      <c r="AD47" t="str">
        <f t="shared" ca="1" si="24"/>
        <v>Yes</v>
      </c>
    </row>
    <row r="48" spans="12:30">
      <c r="L48" t="str">
        <f>'Player Board'!B47</f>
        <v>DeVonta Smith</v>
      </c>
      <c r="M48" t="str">
        <f>'Player Board'!C47</f>
        <v>WR</v>
      </c>
      <c r="N48">
        <f>'Player Board'!H47</f>
        <v>35</v>
      </c>
      <c r="O48" t="str">
        <f>'Player Board'!Q47</f>
        <v/>
      </c>
      <c r="P48">
        <f>IF(NOT(AND('Player Board'!J47="No",'Player Board'!K47="No")),-9999,(325-N48*2)+((IF(M48="QB",INDEX('Manager Profiles'!$T$5:$T$12,MATCH($B$5,'Manager Profiles'!$A$5:$A$12,0)),IF(M48="RB",INDEX('Manager Profiles'!$U$5:$U$12,MATCH($B$5,'Manager Profiles'!$A$5:$A$12,0)),IF(M48="WR",INDEX('Manager Profiles'!$V$5:$V$12,MATCH($B$5,'Manager Profiles'!$A$5:$A$12,0)),IF(M48="TE",INDEX('Manager Profiles'!$W$5:$W$12,MATCH($B$5,'Manager Profiles'!$A$5:$A$12,0)),0)))))*3)+(IF($B$6="Contender",IF('Player Board'!R47="Veteran",12,IF('Player Board'!R47="Prime",7,IF('Player Board'!R47="Young",3,-4))),IF($B$6="Rebuilder",IF('Player Board'!R47="Rookie",15,IF('Player Board'!R47="Young",10,IF('Player Board'!R47="Prime",2,-15))),IF('Player Board'!R47="Veteran",-2,IF('Player Board'!R47="Rookie",4,2)))))+MAX(-20,MIN(20,($B$4-IF(O48="",N48,O48))*2))+(IFERROR(IF(INDEX('Player Board'!$F$4:$F$163,MATCH(N48+1,'Player Board'!$H$4:$H$163,0))&gt;'Player Board'!F47,8,0),0)))</f>
        <v>-9999</v>
      </c>
      <c r="Q48">
        <f t="shared" si="15"/>
        <v>-9998.9835000000003</v>
      </c>
      <c r="R48">
        <f>IF(AND('Draft Tracker'!D47="Noah",'Draft Tracker'!A47&gt;$B$4),'Draft Tracker'!A47,9999)</f>
        <v>9999</v>
      </c>
      <c r="S48">
        <f>IF(M48="","",IF(M48="QB",INDEX('Manager Profiles'!$T$5:$T$12,MATCH("Noah",'Manager Profiles'!$A$5:$A$12,0)),IF(M48="RB",INDEX('Manager Profiles'!$U$5:$U$12,MATCH("Noah",'Manager Profiles'!$A$5:$A$12,0)),IF(M48="WR",INDEX('Manager Profiles'!$V$5:$V$12,MATCH("Noah",'Manager Profiles'!$A$5:$A$12,0)),IF(M48="TE",INDEX('Manager Profiles'!$W$5:$W$12,MATCH("Noah",'Manager Profiles'!$A$5:$A$12,0)),0)))))</f>
        <v>1</v>
      </c>
      <c r="T48">
        <f>IF(M48="","",IF(M48="QB",INDEX('Manager Profiles'!$T$5:$T$12,MATCH($B$5,'Manager Profiles'!$A$5:$A$12,0)),IF(M48="RB",INDEX('Manager Profiles'!$U$5:$U$12,MATCH($B$5,'Manager Profiles'!$A$5:$A$12,0)),IF(M48="WR",INDEX('Manager Profiles'!$V$5:$V$12,MATCH($B$5,'Manager Profiles'!$A$5:$A$12,0)),IF(M48="TE",INDEX('Manager Profiles'!$W$5:$W$12,MATCH($B$5,'Manager Profiles'!$A$5:$A$12,0)),0)))))</f>
        <v>3</v>
      </c>
      <c r="U48">
        <f t="shared" si="16"/>
        <v>-2</v>
      </c>
      <c r="V48" t="str">
        <f t="shared" si="17"/>
        <v/>
      </c>
      <c r="W48">
        <f t="shared" ca="1" si="18"/>
        <v>-9999</v>
      </c>
      <c r="X48">
        <f ca="1">IF(M48="","",IFERROR(_xludf.MINIFS($N$5:$N$164,$M$5:$M$164,M48,$N$5:$N$164,"&gt;"&amp;N48,$P$5:$P$164,"&gt;-9999"),N48+20))</f>
        <v>55</v>
      </c>
      <c r="Y48">
        <f t="shared" ca="1" si="19"/>
        <v>20</v>
      </c>
      <c r="Z48" t="str">
        <f t="shared" si="20"/>
        <v/>
      </c>
      <c r="AA48" t="str">
        <f t="shared" si="21"/>
        <v>No</v>
      </c>
      <c r="AB48" t="str">
        <f t="shared" ca="1" si="22"/>
        <v>Yes</v>
      </c>
      <c r="AC48" t="str">
        <f t="shared" si="23"/>
        <v>Yes</v>
      </c>
      <c r="AD48" t="str">
        <f t="shared" ca="1" si="24"/>
        <v>No</v>
      </c>
    </row>
    <row r="49" spans="12:30">
      <c r="L49" t="str">
        <f>'Player Board'!B48</f>
        <v>Chris Olave</v>
      </c>
      <c r="M49" t="str">
        <f>'Player Board'!C48</f>
        <v>WR</v>
      </c>
      <c r="N49">
        <f>'Player Board'!H48</f>
        <v>47</v>
      </c>
      <c r="O49" t="str">
        <f>'Player Board'!Q48</f>
        <v/>
      </c>
      <c r="P49">
        <f>IF(NOT(AND('Player Board'!J48="No",'Player Board'!K48="No")),-9999,(325-N49*2)+((IF(M49="QB",INDEX('Manager Profiles'!$T$5:$T$12,MATCH($B$5,'Manager Profiles'!$A$5:$A$12,0)),IF(M49="RB",INDEX('Manager Profiles'!$U$5:$U$12,MATCH($B$5,'Manager Profiles'!$A$5:$A$12,0)),IF(M49="WR",INDEX('Manager Profiles'!$V$5:$V$12,MATCH($B$5,'Manager Profiles'!$A$5:$A$12,0)),IF(M49="TE",INDEX('Manager Profiles'!$W$5:$W$12,MATCH($B$5,'Manager Profiles'!$A$5:$A$12,0)),0)))))*3)+(IF($B$6="Contender",IF('Player Board'!R48="Veteran",12,IF('Player Board'!R48="Prime",7,IF('Player Board'!R48="Young",3,-4))),IF($B$6="Rebuilder",IF('Player Board'!R48="Rookie",15,IF('Player Board'!R48="Young",10,IF('Player Board'!R48="Prime",2,-15))),IF('Player Board'!R48="Veteran",-2,IF('Player Board'!R48="Rookie",4,2)))))+MAX(-20,MIN(20,($B$4-IF(O49="",N49,O49))*2))+(IFERROR(IF(INDEX('Player Board'!$F$4:$F$163,MATCH(N49+1,'Player Board'!$H$4:$H$163,0))&gt;'Player Board'!F48,8,0),0)))</f>
        <v>-9999</v>
      </c>
      <c r="Q49">
        <f t="shared" si="15"/>
        <v>-9998.9847000000009</v>
      </c>
      <c r="R49">
        <f>IF(AND('Draft Tracker'!D48="Noah",'Draft Tracker'!A48&gt;$B$4),'Draft Tracker'!A48,9999)</f>
        <v>9999</v>
      </c>
      <c r="S49">
        <f>IF(M49="","",IF(M49="QB",INDEX('Manager Profiles'!$T$5:$T$12,MATCH("Noah",'Manager Profiles'!$A$5:$A$12,0)),IF(M49="RB",INDEX('Manager Profiles'!$U$5:$U$12,MATCH("Noah",'Manager Profiles'!$A$5:$A$12,0)),IF(M49="WR",INDEX('Manager Profiles'!$V$5:$V$12,MATCH("Noah",'Manager Profiles'!$A$5:$A$12,0)),IF(M49="TE",INDEX('Manager Profiles'!$W$5:$W$12,MATCH("Noah",'Manager Profiles'!$A$5:$A$12,0)),0)))))</f>
        <v>1</v>
      </c>
      <c r="T49">
        <f>IF(M49="","",IF(M49="QB",INDEX('Manager Profiles'!$T$5:$T$12,MATCH($B$5,'Manager Profiles'!$A$5:$A$12,0)),IF(M49="RB",INDEX('Manager Profiles'!$U$5:$U$12,MATCH($B$5,'Manager Profiles'!$A$5:$A$12,0)),IF(M49="WR",INDEX('Manager Profiles'!$V$5:$V$12,MATCH($B$5,'Manager Profiles'!$A$5:$A$12,0)),IF(M49="TE",INDEX('Manager Profiles'!$W$5:$W$12,MATCH($B$5,'Manager Profiles'!$A$5:$A$12,0)),0)))))</f>
        <v>3</v>
      </c>
      <c r="U49">
        <f t="shared" si="16"/>
        <v>-2</v>
      </c>
      <c r="V49" t="str">
        <f t="shared" si="17"/>
        <v/>
      </c>
      <c r="W49">
        <f t="shared" ca="1" si="18"/>
        <v>-9999</v>
      </c>
      <c r="X49">
        <f ca="1">IF(M49="","",IFERROR(_xludf.MINIFS($N$5:$N$164,$M$5:$M$164,M49,$N$5:$N$164,"&gt;"&amp;N49,$P$5:$P$164,"&gt;-9999"),N49+20))</f>
        <v>67</v>
      </c>
      <c r="Y49">
        <f t="shared" ca="1" si="19"/>
        <v>20</v>
      </c>
      <c r="Z49" t="str">
        <f t="shared" si="20"/>
        <v/>
      </c>
      <c r="AA49" t="str">
        <f t="shared" si="21"/>
        <v>No</v>
      </c>
      <c r="AB49" t="str">
        <f t="shared" ca="1" si="22"/>
        <v>Yes</v>
      </c>
      <c r="AC49" t="str">
        <f t="shared" si="23"/>
        <v>Yes</v>
      </c>
      <c r="AD49" t="str">
        <f t="shared" ca="1" si="24"/>
        <v>No</v>
      </c>
    </row>
    <row r="50" spans="12:30">
      <c r="L50" t="str">
        <f>'Player Board'!B49</f>
        <v>Luther Burden III</v>
      </c>
      <c r="M50" t="str">
        <f>'Player Board'!C49</f>
        <v>WR</v>
      </c>
      <c r="N50">
        <f>'Player Board'!H49</f>
        <v>46</v>
      </c>
      <c r="O50" t="str">
        <f>'Player Board'!Q49</f>
        <v/>
      </c>
      <c r="P50">
        <f>IF(NOT(AND('Player Board'!J49="No",'Player Board'!K49="No")),-9999,(325-N50*2)+((IF(M50="QB",INDEX('Manager Profiles'!$T$5:$T$12,MATCH($B$5,'Manager Profiles'!$A$5:$A$12,0)),IF(M50="RB",INDEX('Manager Profiles'!$U$5:$U$12,MATCH($B$5,'Manager Profiles'!$A$5:$A$12,0)),IF(M50="WR",INDEX('Manager Profiles'!$V$5:$V$12,MATCH($B$5,'Manager Profiles'!$A$5:$A$12,0)),IF(M50="TE",INDEX('Manager Profiles'!$W$5:$W$12,MATCH($B$5,'Manager Profiles'!$A$5:$A$12,0)),0)))))*3)+(IF($B$6="Contender",IF('Player Board'!R49="Veteran",12,IF('Player Board'!R49="Prime",7,IF('Player Board'!R49="Young",3,-4))),IF($B$6="Rebuilder",IF('Player Board'!R49="Rookie",15,IF('Player Board'!R49="Young",10,IF('Player Board'!R49="Prime",2,-15))),IF('Player Board'!R49="Veteran",-2,IF('Player Board'!R49="Rookie",4,2)))))+MAX(-20,MIN(20,($B$4-IF(O50="",N50,O50))*2))+(IFERROR(IF(INDEX('Player Board'!$F$4:$F$163,MATCH(N50+1,'Player Board'!$H$4:$H$163,0))&gt;'Player Board'!F49,8,0),0)))</f>
        <v>-9999</v>
      </c>
      <c r="Q50">
        <f t="shared" si="15"/>
        <v>-9998.9845999999998</v>
      </c>
      <c r="R50">
        <f>IF(AND('Draft Tracker'!D49="Noah",'Draft Tracker'!A49&gt;$B$4),'Draft Tracker'!A49,9999)</f>
        <v>9999</v>
      </c>
      <c r="S50">
        <f>IF(M50="","",IF(M50="QB",INDEX('Manager Profiles'!$T$5:$T$12,MATCH("Noah",'Manager Profiles'!$A$5:$A$12,0)),IF(M50="RB",INDEX('Manager Profiles'!$U$5:$U$12,MATCH("Noah",'Manager Profiles'!$A$5:$A$12,0)),IF(M50="WR",INDEX('Manager Profiles'!$V$5:$V$12,MATCH("Noah",'Manager Profiles'!$A$5:$A$12,0)),IF(M50="TE",INDEX('Manager Profiles'!$W$5:$W$12,MATCH("Noah",'Manager Profiles'!$A$5:$A$12,0)),0)))))</f>
        <v>1</v>
      </c>
      <c r="T50">
        <f>IF(M50="","",IF(M50="QB",INDEX('Manager Profiles'!$T$5:$T$12,MATCH($B$5,'Manager Profiles'!$A$5:$A$12,0)),IF(M50="RB",INDEX('Manager Profiles'!$U$5:$U$12,MATCH($B$5,'Manager Profiles'!$A$5:$A$12,0)),IF(M50="WR",INDEX('Manager Profiles'!$V$5:$V$12,MATCH($B$5,'Manager Profiles'!$A$5:$A$12,0)),IF(M50="TE",INDEX('Manager Profiles'!$W$5:$W$12,MATCH($B$5,'Manager Profiles'!$A$5:$A$12,0)),0)))))</f>
        <v>3</v>
      </c>
      <c r="U50">
        <f t="shared" si="16"/>
        <v>-2</v>
      </c>
      <c r="V50" t="str">
        <f t="shared" si="17"/>
        <v/>
      </c>
      <c r="W50">
        <f t="shared" ca="1" si="18"/>
        <v>-9999</v>
      </c>
      <c r="X50">
        <f ca="1">IF(M50="","",IFERROR(_xludf.MINIFS($N$5:$N$164,$M$5:$M$164,M50,$N$5:$N$164,"&gt;"&amp;N50,$P$5:$P$164,"&gt;-9999"),N50+20))</f>
        <v>66</v>
      </c>
      <c r="Y50">
        <f t="shared" ca="1" si="19"/>
        <v>20</v>
      </c>
      <c r="Z50" t="str">
        <f t="shared" si="20"/>
        <v/>
      </c>
      <c r="AA50" t="str">
        <f t="shared" si="21"/>
        <v>No</v>
      </c>
      <c r="AB50" t="str">
        <f t="shared" ca="1" si="22"/>
        <v>Yes</v>
      </c>
      <c r="AC50" t="str">
        <f t="shared" si="23"/>
        <v>Yes</v>
      </c>
      <c r="AD50" t="str">
        <f t="shared" ca="1" si="24"/>
        <v>No</v>
      </c>
    </row>
    <row r="51" spans="12:30">
      <c r="L51" t="str">
        <f>'Player Board'!B50</f>
        <v>Fernando Mendoza</v>
      </c>
      <c r="M51" t="str">
        <f>'Player Board'!C50</f>
        <v>QB</v>
      </c>
      <c r="N51">
        <f>'Player Board'!H50</f>
        <v>53</v>
      </c>
      <c r="O51">
        <f>'Player Board'!Q50</f>
        <v>5</v>
      </c>
      <c r="P51">
        <f>IF(NOT(AND('Player Board'!J50="No",'Player Board'!K50="No")),-9999,(325-N51*2)+((IF(M51="QB",INDEX('Manager Profiles'!$T$5:$T$12,MATCH($B$5,'Manager Profiles'!$A$5:$A$12,0)),IF(M51="RB",INDEX('Manager Profiles'!$U$5:$U$12,MATCH($B$5,'Manager Profiles'!$A$5:$A$12,0)),IF(M51="WR",INDEX('Manager Profiles'!$V$5:$V$12,MATCH($B$5,'Manager Profiles'!$A$5:$A$12,0)),IF(M51="TE",INDEX('Manager Profiles'!$W$5:$W$12,MATCH($B$5,'Manager Profiles'!$A$5:$A$12,0)),0)))))*3)+(IF($B$6="Contender",IF('Player Board'!R50="Veteran",12,IF('Player Board'!R50="Prime",7,IF('Player Board'!R50="Young",3,-4))),IF($B$6="Rebuilder",IF('Player Board'!R50="Rookie",15,IF('Player Board'!R50="Young",10,IF('Player Board'!R50="Prime",2,-15))),IF('Player Board'!R50="Veteran",-2,IF('Player Board'!R50="Rookie",4,2)))))+MAX(-20,MIN(20,($B$4-IF(O51="",N51,O51))*2))+(IFERROR(IF(INDEX('Player Board'!$F$4:$F$163,MATCH(N51+1,'Player Board'!$H$4:$H$163,0))&gt;'Player Board'!F50,8,0),0)))</f>
        <v>221</v>
      </c>
      <c r="Q51">
        <f t="shared" si="15"/>
        <v>221.0147</v>
      </c>
      <c r="R51">
        <f>IF(AND('Draft Tracker'!D50="Noah",'Draft Tracker'!A50&gt;$B$4),'Draft Tracker'!A50,9999)</f>
        <v>9999</v>
      </c>
      <c r="S51">
        <f>IF(M51="","",IF(M51="QB",INDEX('Manager Profiles'!$T$5:$T$12,MATCH("Noah",'Manager Profiles'!$A$5:$A$12,0)),IF(M51="RB",INDEX('Manager Profiles'!$U$5:$U$12,MATCH("Noah",'Manager Profiles'!$A$5:$A$12,0)),IF(M51="WR",INDEX('Manager Profiles'!$V$5:$V$12,MATCH("Noah",'Manager Profiles'!$A$5:$A$12,0)),IF(M51="TE",INDEX('Manager Profiles'!$W$5:$W$12,MATCH("Noah",'Manager Profiles'!$A$5:$A$12,0)),0)))))</f>
        <v>9</v>
      </c>
      <c r="T51">
        <f>IF(M51="","",IF(M51="QB",INDEX('Manager Profiles'!$T$5:$T$12,MATCH($B$5,'Manager Profiles'!$A$5:$A$12,0)),IF(M51="RB",INDEX('Manager Profiles'!$U$5:$U$12,MATCH($B$5,'Manager Profiles'!$A$5:$A$12,0)),IF(M51="WR",INDEX('Manager Profiles'!$V$5:$V$12,MATCH($B$5,'Manager Profiles'!$A$5:$A$12,0)),IF(M51="TE",INDEX('Manager Profiles'!$W$5:$W$12,MATCH($B$5,'Manager Profiles'!$A$5:$A$12,0)),0)))))</f>
        <v>2</v>
      </c>
      <c r="U51">
        <f t="shared" si="16"/>
        <v>7</v>
      </c>
      <c r="V51">
        <f t="shared" si="17"/>
        <v>8</v>
      </c>
      <c r="W51">
        <f t="shared" ca="1" si="18"/>
        <v>-9999</v>
      </c>
      <c r="X51">
        <f ca="1">IF(M51="","",IFERROR(_xludf.MINIFS($N$5:$N$164,$M$5:$M$164,M51,$N$5:$N$164,"&gt;"&amp;N51,$P$5:$P$164,"&gt;-9999"),N51+20))</f>
        <v>73</v>
      </c>
      <c r="Y51">
        <f t="shared" ca="1" si="19"/>
        <v>20</v>
      </c>
      <c r="Z51">
        <f t="shared" si="20"/>
        <v>-4</v>
      </c>
      <c r="AA51" t="str">
        <f t="shared" si="21"/>
        <v>No</v>
      </c>
      <c r="AB51" t="str">
        <f t="shared" ca="1" si="22"/>
        <v>Yes</v>
      </c>
      <c r="AC51" t="str">
        <f t="shared" si="23"/>
        <v>No</v>
      </c>
      <c r="AD51" t="str">
        <f t="shared" ca="1" si="24"/>
        <v>No</v>
      </c>
    </row>
    <row r="52" spans="12:30">
      <c r="L52" t="str">
        <f>'Player Board'!B51</f>
        <v>TreVeyon Henderson</v>
      </c>
      <c r="M52" t="str">
        <f>'Player Board'!C51</f>
        <v>RB</v>
      </c>
      <c r="N52">
        <f>'Player Board'!H51</f>
        <v>50</v>
      </c>
      <c r="O52" t="str">
        <f>'Player Board'!Q51</f>
        <v/>
      </c>
      <c r="P52">
        <f>IF(NOT(AND('Player Board'!J51="No",'Player Board'!K51="No")),-9999,(325-N52*2)+((IF(M52="QB",INDEX('Manager Profiles'!$T$5:$T$12,MATCH($B$5,'Manager Profiles'!$A$5:$A$12,0)),IF(M52="RB",INDEX('Manager Profiles'!$U$5:$U$12,MATCH($B$5,'Manager Profiles'!$A$5:$A$12,0)),IF(M52="WR",INDEX('Manager Profiles'!$V$5:$V$12,MATCH($B$5,'Manager Profiles'!$A$5:$A$12,0)),IF(M52="TE",INDEX('Manager Profiles'!$W$5:$W$12,MATCH($B$5,'Manager Profiles'!$A$5:$A$12,0)),0)))))*3)+(IF($B$6="Contender",IF('Player Board'!R51="Veteran",12,IF('Player Board'!R51="Prime",7,IF('Player Board'!R51="Young",3,-4))),IF($B$6="Rebuilder",IF('Player Board'!R51="Rookie",15,IF('Player Board'!R51="Young",10,IF('Player Board'!R51="Prime",2,-15))),IF('Player Board'!R51="Veteran",-2,IF('Player Board'!R51="Rookie",4,2)))))+MAX(-20,MIN(20,($B$4-IF(O52="",N52,O52))*2))+(IFERROR(IF(INDEX('Player Board'!$F$4:$F$163,MATCH(N52+1,'Player Board'!$H$4:$H$163,0))&gt;'Player Board'!F51,8,0),0)))</f>
        <v>-9999</v>
      </c>
      <c r="Q52">
        <f t="shared" si="15"/>
        <v>-9998.9850000000006</v>
      </c>
      <c r="R52">
        <f>IF(AND('Draft Tracker'!D51="Noah",'Draft Tracker'!A51&gt;$B$4),'Draft Tracker'!A51,9999)</f>
        <v>9999</v>
      </c>
      <c r="S52">
        <f>IF(M52="","",IF(M52="QB",INDEX('Manager Profiles'!$T$5:$T$12,MATCH("Noah",'Manager Profiles'!$A$5:$A$12,0)),IF(M52="RB",INDEX('Manager Profiles'!$U$5:$U$12,MATCH("Noah",'Manager Profiles'!$A$5:$A$12,0)),IF(M52="WR",INDEX('Manager Profiles'!$V$5:$V$12,MATCH("Noah",'Manager Profiles'!$A$5:$A$12,0)),IF(M52="TE",INDEX('Manager Profiles'!$W$5:$W$12,MATCH("Noah",'Manager Profiles'!$A$5:$A$12,0)),0)))))</f>
        <v>4</v>
      </c>
      <c r="T52">
        <f>IF(M52="","",IF(M52="QB",INDEX('Manager Profiles'!$T$5:$T$12,MATCH($B$5,'Manager Profiles'!$A$5:$A$12,0)),IF(M52="RB",INDEX('Manager Profiles'!$U$5:$U$12,MATCH($B$5,'Manager Profiles'!$A$5:$A$12,0)),IF(M52="WR",INDEX('Manager Profiles'!$V$5:$V$12,MATCH($B$5,'Manager Profiles'!$A$5:$A$12,0)),IF(M52="TE",INDEX('Manager Profiles'!$W$5:$W$12,MATCH($B$5,'Manager Profiles'!$A$5:$A$12,0)),0)))))</f>
        <v>9</v>
      </c>
      <c r="U52">
        <f t="shared" si="16"/>
        <v>-5</v>
      </c>
      <c r="V52" t="str">
        <f t="shared" si="17"/>
        <v/>
      </c>
      <c r="W52">
        <f t="shared" ca="1" si="18"/>
        <v>-9999</v>
      </c>
      <c r="X52">
        <f ca="1">IF(M52="","",IFERROR(_xludf.MINIFS($N$5:$N$164,$M$5:$M$164,M52,$N$5:$N$164,"&gt;"&amp;N52,$P$5:$P$164,"&gt;-9999"),N52+20))</f>
        <v>70</v>
      </c>
      <c r="Y52">
        <f t="shared" ca="1" si="19"/>
        <v>20</v>
      </c>
      <c r="Z52" t="str">
        <f t="shared" si="20"/>
        <v/>
      </c>
      <c r="AA52" t="str">
        <f t="shared" si="21"/>
        <v>Yes</v>
      </c>
      <c r="AB52" t="str">
        <f t="shared" ca="1" si="22"/>
        <v>Yes</v>
      </c>
      <c r="AC52" t="str">
        <f t="shared" si="23"/>
        <v>Yes</v>
      </c>
      <c r="AD52" t="str">
        <f t="shared" ca="1" si="24"/>
        <v>No</v>
      </c>
    </row>
    <row r="53" spans="12:30">
      <c r="L53" t="str">
        <f>'Player Board'!B52</f>
        <v>Breece Hall</v>
      </c>
      <c r="M53" t="str">
        <f>'Player Board'!C52</f>
        <v>RB</v>
      </c>
      <c r="N53">
        <f>'Player Board'!H52</f>
        <v>56</v>
      </c>
      <c r="O53" t="str">
        <f>'Player Board'!Q52</f>
        <v/>
      </c>
      <c r="P53">
        <f>IF(NOT(AND('Player Board'!J52="No",'Player Board'!K52="No")),-9999,(325-N53*2)+((IF(M53="QB",INDEX('Manager Profiles'!$T$5:$T$12,MATCH($B$5,'Manager Profiles'!$A$5:$A$12,0)),IF(M53="RB",INDEX('Manager Profiles'!$U$5:$U$12,MATCH($B$5,'Manager Profiles'!$A$5:$A$12,0)),IF(M53="WR",INDEX('Manager Profiles'!$V$5:$V$12,MATCH($B$5,'Manager Profiles'!$A$5:$A$12,0)),IF(M53="TE",INDEX('Manager Profiles'!$W$5:$W$12,MATCH($B$5,'Manager Profiles'!$A$5:$A$12,0)),0)))))*3)+(IF($B$6="Contender",IF('Player Board'!R52="Veteran",12,IF('Player Board'!R52="Prime",7,IF('Player Board'!R52="Young",3,-4))),IF($B$6="Rebuilder",IF('Player Board'!R52="Rookie",15,IF('Player Board'!R52="Young",10,IF('Player Board'!R52="Prime",2,-15))),IF('Player Board'!R52="Veteran",-2,IF('Player Board'!R52="Rookie",4,2)))))+MAX(-20,MIN(20,($B$4-IF(O53="",N53,O53))*2))+(IFERROR(IF(INDEX('Player Board'!$F$4:$F$163,MATCH(N53+1,'Player Board'!$H$4:$H$163,0))&gt;'Player Board'!F52,8,0),0)))</f>
        <v>-9999</v>
      </c>
      <c r="Q53">
        <f t="shared" si="15"/>
        <v>-9998.9856</v>
      </c>
      <c r="R53">
        <f>IF(AND('Draft Tracker'!D52="Noah",'Draft Tracker'!A52&gt;$B$4),'Draft Tracker'!A52,9999)</f>
        <v>9999</v>
      </c>
      <c r="S53">
        <f>IF(M53="","",IF(M53="QB",INDEX('Manager Profiles'!$T$5:$T$12,MATCH("Noah",'Manager Profiles'!$A$5:$A$12,0)),IF(M53="RB",INDEX('Manager Profiles'!$U$5:$U$12,MATCH("Noah",'Manager Profiles'!$A$5:$A$12,0)),IF(M53="WR",INDEX('Manager Profiles'!$V$5:$V$12,MATCH("Noah",'Manager Profiles'!$A$5:$A$12,0)),IF(M53="TE",INDEX('Manager Profiles'!$W$5:$W$12,MATCH("Noah",'Manager Profiles'!$A$5:$A$12,0)),0)))))</f>
        <v>4</v>
      </c>
      <c r="T53">
        <f>IF(M53="","",IF(M53="QB",INDEX('Manager Profiles'!$T$5:$T$12,MATCH($B$5,'Manager Profiles'!$A$5:$A$12,0)),IF(M53="RB",INDEX('Manager Profiles'!$U$5:$U$12,MATCH($B$5,'Manager Profiles'!$A$5:$A$12,0)),IF(M53="WR",INDEX('Manager Profiles'!$V$5:$V$12,MATCH($B$5,'Manager Profiles'!$A$5:$A$12,0)),IF(M53="TE",INDEX('Manager Profiles'!$W$5:$W$12,MATCH($B$5,'Manager Profiles'!$A$5:$A$12,0)),0)))))</f>
        <v>9</v>
      </c>
      <c r="U53">
        <f t="shared" si="16"/>
        <v>-5</v>
      </c>
      <c r="V53" t="str">
        <f t="shared" si="17"/>
        <v/>
      </c>
      <c r="W53">
        <f t="shared" ca="1" si="18"/>
        <v>-9999</v>
      </c>
      <c r="X53">
        <f ca="1">IF(M53="","",IFERROR(_xludf.MINIFS($N$5:$N$164,$M$5:$M$164,M53,$N$5:$N$164,"&gt;"&amp;N53,$P$5:$P$164,"&gt;-9999"),N53+20))</f>
        <v>76</v>
      </c>
      <c r="Y53">
        <f t="shared" ca="1" si="19"/>
        <v>20</v>
      </c>
      <c r="Z53" t="str">
        <f t="shared" si="20"/>
        <v/>
      </c>
      <c r="AA53" t="str">
        <f t="shared" si="21"/>
        <v>Yes</v>
      </c>
      <c r="AB53" t="str">
        <f t="shared" ca="1" si="22"/>
        <v>Yes</v>
      </c>
      <c r="AC53" t="str">
        <f t="shared" si="23"/>
        <v>Yes</v>
      </c>
      <c r="AD53" t="str">
        <f t="shared" ca="1" si="24"/>
        <v>No</v>
      </c>
    </row>
    <row r="54" spans="12:30">
      <c r="L54" t="str">
        <f>'Player Board'!B53</f>
        <v>Cam Ward</v>
      </c>
      <c r="M54" t="str">
        <f>'Player Board'!C53</f>
        <v>QB</v>
      </c>
      <c r="N54">
        <f>'Player Board'!H53</f>
        <v>72</v>
      </c>
      <c r="O54">
        <f>'Player Board'!Q53</f>
        <v>15</v>
      </c>
      <c r="P54">
        <f>IF(NOT(AND('Player Board'!J53="No",'Player Board'!K53="No")),-9999,(325-N54*2)+((IF(M54="QB",INDEX('Manager Profiles'!$T$5:$T$12,MATCH($B$5,'Manager Profiles'!$A$5:$A$12,0)),IF(M54="RB",INDEX('Manager Profiles'!$U$5:$U$12,MATCH($B$5,'Manager Profiles'!$A$5:$A$12,0)),IF(M54="WR",INDEX('Manager Profiles'!$V$5:$V$12,MATCH($B$5,'Manager Profiles'!$A$5:$A$12,0)),IF(M54="TE",INDEX('Manager Profiles'!$W$5:$W$12,MATCH($B$5,'Manager Profiles'!$A$5:$A$12,0)),0)))))*3)+(IF($B$6="Contender",IF('Player Board'!R53="Veteran",12,IF('Player Board'!R53="Prime",7,IF('Player Board'!R53="Young",3,-4))),IF($B$6="Rebuilder",IF('Player Board'!R53="Rookie",15,IF('Player Board'!R53="Young",10,IF('Player Board'!R53="Prime",2,-15))),IF('Player Board'!R53="Veteran",-2,IF('Player Board'!R53="Rookie",4,2)))))+MAX(-20,MIN(20,($B$4-IF(O54="",N54,O54))*2))+(IFERROR(IF(INDEX('Player Board'!$F$4:$F$163,MATCH(N54+1,'Player Board'!$H$4:$H$163,0))&gt;'Player Board'!F53,8,0),0)))</f>
        <v>169</v>
      </c>
      <c r="Q54">
        <f t="shared" si="15"/>
        <v>169.0128</v>
      </c>
      <c r="R54">
        <f>IF(AND('Draft Tracker'!D53="Noah",'Draft Tracker'!A53&gt;$B$4),'Draft Tracker'!A53,9999)</f>
        <v>9999</v>
      </c>
      <c r="S54">
        <f>IF(M54="","",IF(M54="QB",INDEX('Manager Profiles'!$T$5:$T$12,MATCH("Noah",'Manager Profiles'!$A$5:$A$12,0)),IF(M54="RB",INDEX('Manager Profiles'!$U$5:$U$12,MATCH("Noah",'Manager Profiles'!$A$5:$A$12,0)),IF(M54="WR",INDEX('Manager Profiles'!$V$5:$V$12,MATCH("Noah",'Manager Profiles'!$A$5:$A$12,0)),IF(M54="TE",INDEX('Manager Profiles'!$W$5:$W$12,MATCH("Noah",'Manager Profiles'!$A$5:$A$12,0)),0)))))</f>
        <v>9</v>
      </c>
      <c r="T54">
        <f>IF(M54="","",IF(M54="QB",INDEX('Manager Profiles'!$T$5:$T$12,MATCH($B$5,'Manager Profiles'!$A$5:$A$12,0)),IF(M54="RB",INDEX('Manager Profiles'!$U$5:$U$12,MATCH($B$5,'Manager Profiles'!$A$5:$A$12,0)),IF(M54="WR",INDEX('Manager Profiles'!$V$5:$V$12,MATCH($B$5,'Manager Profiles'!$A$5:$A$12,0)),IF(M54="TE",INDEX('Manager Profiles'!$W$5:$W$12,MATCH($B$5,'Manager Profiles'!$A$5:$A$12,0)),0)))))</f>
        <v>2</v>
      </c>
      <c r="U54">
        <f t="shared" si="16"/>
        <v>7</v>
      </c>
      <c r="V54">
        <f t="shared" si="17"/>
        <v>0</v>
      </c>
      <c r="W54">
        <f t="shared" ca="1" si="18"/>
        <v>-9999</v>
      </c>
      <c r="X54">
        <f ca="1">IF(M54="","",IFERROR(_xludf.MINIFS($N$5:$N$164,$M$5:$M$164,M54,$N$5:$N$164,"&gt;"&amp;N54,$P$5:$P$164,"&gt;-9999"),N54+20))</f>
        <v>92</v>
      </c>
      <c r="Y54">
        <f t="shared" ca="1" si="19"/>
        <v>20</v>
      </c>
      <c r="Z54">
        <f t="shared" si="20"/>
        <v>-14</v>
      </c>
      <c r="AA54" t="str">
        <f t="shared" si="21"/>
        <v>No</v>
      </c>
      <c r="AB54" t="str">
        <f t="shared" ca="1" si="22"/>
        <v>Yes</v>
      </c>
      <c r="AC54" t="str">
        <f t="shared" si="23"/>
        <v>No</v>
      </c>
      <c r="AD54" t="str">
        <f t="shared" ca="1" si="24"/>
        <v>No</v>
      </c>
    </row>
    <row r="55" spans="12:30">
      <c r="L55" t="str">
        <f>'Player Board'!B54</f>
        <v>Jordyn Tyson</v>
      </c>
      <c r="M55" t="str">
        <f>'Player Board'!C54</f>
        <v>WR</v>
      </c>
      <c r="N55">
        <f>'Player Board'!H54</f>
        <v>51</v>
      </c>
      <c r="O55">
        <f>'Player Board'!Q54</f>
        <v>3</v>
      </c>
      <c r="P55">
        <f>IF(NOT(AND('Player Board'!J54="No",'Player Board'!K54="No")),-9999,(325-N55*2)+((IF(M55="QB",INDEX('Manager Profiles'!$T$5:$T$12,MATCH($B$5,'Manager Profiles'!$A$5:$A$12,0)),IF(M55="RB",INDEX('Manager Profiles'!$U$5:$U$12,MATCH($B$5,'Manager Profiles'!$A$5:$A$12,0)),IF(M55="WR",INDEX('Manager Profiles'!$V$5:$V$12,MATCH($B$5,'Manager Profiles'!$A$5:$A$12,0)),IF(M55="TE",INDEX('Manager Profiles'!$W$5:$W$12,MATCH($B$5,'Manager Profiles'!$A$5:$A$12,0)),0)))))*3)+(IF($B$6="Contender",IF('Player Board'!R54="Veteran",12,IF('Player Board'!R54="Prime",7,IF('Player Board'!R54="Young",3,-4))),IF($B$6="Rebuilder",IF('Player Board'!R54="Rookie",15,IF('Player Board'!R54="Young",10,IF('Player Board'!R54="Prime",2,-15))),IF('Player Board'!R54="Veteran",-2,IF('Player Board'!R54="Rookie",4,2)))))+MAX(-20,MIN(20,($B$4-IF(O55="",N55,O55))*2))+(IFERROR(IF(INDEX('Player Board'!$F$4:$F$163,MATCH(N55+1,'Player Board'!$H$4:$H$163,0))&gt;'Player Board'!F54,8,0),0)))</f>
        <v>232</v>
      </c>
      <c r="Q55">
        <f t="shared" si="15"/>
        <v>232.01490000000001</v>
      </c>
      <c r="R55">
        <f>IF(AND('Draft Tracker'!D54="Noah",'Draft Tracker'!A54&gt;$B$4),'Draft Tracker'!A54,9999)</f>
        <v>9999</v>
      </c>
      <c r="S55">
        <f>IF(M55="","",IF(M55="QB",INDEX('Manager Profiles'!$T$5:$T$12,MATCH("Noah",'Manager Profiles'!$A$5:$A$12,0)),IF(M55="RB",INDEX('Manager Profiles'!$U$5:$U$12,MATCH("Noah",'Manager Profiles'!$A$5:$A$12,0)),IF(M55="WR",INDEX('Manager Profiles'!$V$5:$V$12,MATCH("Noah",'Manager Profiles'!$A$5:$A$12,0)),IF(M55="TE",INDEX('Manager Profiles'!$W$5:$W$12,MATCH("Noah",'Manager Profiles'!$A$5:$A$12,0)),0)))))</f>
        <v>1</v>
      </c>
      <c r="T55">
        <f>IF(M55="","",IF(M55="QB",INDEX('Manager Profiles'!$T$5:$T$12,MATCH($B$5,'Manager Profiles'!$A$5:$A$12,0)),IF(M55="RB",INDEX('Manager Profiles'!$U$5:$U$12,MATCH($B$5,'Manager Profiles'!$A$5:$A$12,0)),IF(M55="WR",INDEX('Manager Profiles'!$V$5:$V$12,MATCH($B$5,'Manager Profiles'!$A$5:$A$12,0)),IF(M55="TE",INDEX('Manager Profiles'!$W$5:$W$12,MATCH($B$5,'Manager Profiles'!$A$5:$A$12,0)),0)))))</f>
        <v>3</v>
      </c>
      <c r="U55">
        <f t="shared" si="16"/>
        <v>-2</v>
      </c>
      <c r="V55">
        <f t="shared" si="17"/>
        <v>10</v>
      </c>
      <c r="W55">
        <f t="shared" ca="1" si="18"/>
        <v>-9999</v>
      </c>
      <c r="X55">
        <f ca="1">IF(M55="","",IFERROR(_xludf.MINIFS($N$5:$N$164,$M$5:$M$164,M55,$N$5:$N$164,"&gt;"&amp;N55,$P$5:$P$164,"&gt;-9999"),N55+20))</f>
        <v>71</v>
      </c>
      <c r="Y55">
        <f t="shared" ca="1" si="19"/>
        <v>20</v>
      </c>
      <c r="Z55">
        <f t="shared" si="20"/>
        <v>-2</v>
      </c>
      <c r="AA55" t="str">
        <f t="shared" si="21"/>
        <v>No</v>
      </c>
      <c r="AB55" t="str">
        <f t="shared" ca="1" si="22"/>
        <v>Yes</v>
      </c>
      <c r="AC55" t="str">
        <f t="shared" si="23"/>
        <v>No</v>
      </c>
      <c r="AD55" t="str">
        <f t="shared" ca="1" si="24"/>
        <v>No</v>
      </c>
    </row>
    <row r="56" spans="12:30">
      <c r="L56" t="str">
        <f>'Player Board'!B55</f>
        <v>Rome Odunze</v>
      </c>
      <c r="M56" t="str">
        <f>'Player Board'!C55</f>
        <v>WR</v>
      </c>
      <c r="N56">
        <f>'Player Board'!H55</f>
        <v>59</v>
      </c>
      <c r="O56">
        <f>'Player Board'!Q55</f>
        <v>9</v>
      </c>
      <c r="P56">
        <f>IF(NOT(AND('Player Board'!J55="No",'Player Board'!K55="No")),-9999,(325-N56*2)+((IF(M56="QB",INDEX('Manager Profiles'!$T$5:$T$12,MATCH($B$5,'Manager Profiles'!$A$5:$A$12,0)),IF(M56="RB",INDEX('Manager Profiles'!$U$5:$U$12,MATCH($B$5,'Manager Profiles'!$A$5:$A$12,0)),IF(M56="WR",INDEX('Manager Profiles'!$V$5:$V$12,MATCH($B$5,'Manager Profiles'!$A$5:$A$12,0)),IF(M56="TE",INDEX('Manager Profiles'!$W$5:$W$12,MATCH($B$5,'Manager Profiles'!$A$5:$A$12,0)),0)))))*3)+(IF($B$6="Contender",IF('Player Board'!R55="Veteran",12,IF('Player Board'!R55="Prime",7,IF('Player Board'!R55="Young",3,-4))),IF($B$6="Rebuilder",IF('Player Board'!R55="Rookie",15,IF('Player Board'!R55="Young",10,IF('Player Board'!R55="Prime",2,-15))),IF('Player Board'!R55="Veteran",-2,IF('Player Board'!R55="Rookie",4,2)))))+MAX(-20,MIN(20,($B$4-IF(O56="",N56,O56))*2))+(IFERROR(IF(INDEX('Player Board'!$F$4:$F$163,MATCH(N56+1,'Player Board'!$H$4:$H$163,0))&gt;'Player Board'!F55,8,0),0)))</f>
        <v>202</v>
      </c>
      <c r="Q56">
        <f t="shared" si="15"/>
        <v>202.01410000000001</v>
      </c>
      <c r="R56">
        <f>IF(AND('Draft Tracker'!D55="Noah",'Draft Tracker'!A55&gt;$B$4),'Draft Tracker'!A55,9999)</f>
        <v>9999</v>
      </c>
      <c r="S56">
        <f>IF(M56="","",IF(M56="QB",INDEX('Manager Profiles'!$T$5:$T$12,MATCH("Noah",'Manager Profiles'!$A$5:$A$12,0)),IF(M56="RB",INDEX('Manager Profiles'!$U$5:$U$12,MATCH("Noah",'Manager Profiles'!$A$5:$A$12,0)),IF(M56="WR",INDEX('Manager Profiles'!$V$5:$V$12,MATCH("Noah",'Manager Profiles'!$A$5:$A$12,0)),IF(M56="TE",INDEX('Manager Profiles'!$W$5:$W$12,MATCH("Noah",'Manager Profiles'!$A$5:$A$12,0)),0)))))</f>
        <v>1</v>
      </c>
      <c r="T56">
        <f>IF(M56="","",IF(M56="QB",INDEX('Manager Profiles'!$T$5:$T$12,MATCH($B$5,'Manager Profiles'!$A$5:$A$12,0)),IF(M56="RB",INDEX('Manager Profiles'!$U$5:$U$12,MATCH($B$5,'Manager Profiles'!$A$5:$A$12,0)),IF(M56="WR",INDEX('Manager Profiles'!$V$5:$V$12,MATCH($B$5,'Manager Profiles'!$A$5:$A$12,0)),IF(M56="TE",INDEX('Manager Profiles'!$W$5:$W$12,MATCH($B$5,'Manager Profiles'!$A$5:$A$12,0)),0)))))</f>
        <v>3</v>
      </c>
      <c r="U56">
        <f t="shared" si="16"/>
        <v>-2</v>
      </c>
      <c r="V56">
        <f t="shared" si="17"/>
        <v>4</v>
      </c>
      <c r="W56">
        <f t="shared" ca="1" si="18"/>
        <v>-9999</v>
      </c>
      <c r="X56">
        <f ca="1">IF(M56="","",IFERROR(_xludf.MINIFS($N$5:$N$164,$M$5:$M$164,M56,$N$5:$N$164,"&gt;"&amp;N56,$P$5:$P$164,"&gt;-9999"),N56+20))</f>
        <v>79</v>
      </c>
      <c r="Y56">
        <f t="shared" ca="1" si="19"/>
        <v>20</v>
      </c>
      <c r="Z56">
        <f t="shared" si="20"/>
        <v>-8</v>
      </c>
      <c r="AA56" t="str">
        <f t="shared" si="21"/>
        <v>No</v>
      </c>
      <c r="AB56" t="str">
        <f t="shared" ca="1" si="22"/>
        <v>Yes</v>
      </c>
      <c r="AC56" t="str">
        <f t="shared" si="23"/>
        <v>No</v>
      </c>
      <c r="AD56" t="str">
        <f t="shared" ca="1" si="24"/>
        <v>No</v>
      </c>
    </row>
    <row r="57" spans="12:30">
      <c r="L57" t="str">
        <f>'Player Board'!B56</f>
        <v>Chase Brown</v>
      </c>
      <c r="M57" t="str">
        <f>'Player Board'!C56</f>
        <v>RB</v>
      </c>
      <c r="N57">
        <f>'Player Board'!H56</f>
        <v>45</v>
      </c>
      <c r="O57" t="str">
        <f>'Player Board'!Q56</f>
        <v/>
      </c>
      <c r="P57">
        <f>IF(NOT(AND('Player Board'!J56="No",'Player Board'!K56="No")),-9999,(325-N57*2)+((IF(M57="QB",INDEX('Manager Profiles'!$T$5:$T$12,MATCH($B$5,'Manager Profiles'!$A$5:$A$12,0)),IF(M57="RB",INDEX('Manager Profiles'!$U$5:$U$12,MATCH($B$5,'Manager Profiles'!$A$5:$A$12,0)),IF(M57="WR",INDEX('Manager Profiles'!$V$5:$V$12,MATCH($B$5,'Manager Profiles'!$A$5:$A$12,0)),IF(M57="TE",INDEX('Manager Profiles'!$W$5:$W$12,MATCH($B$5,'Manager Profiles'!$A$5:$A$12,0)),0)))))*3)+(IF($B$6="Contender",IF('Player Board'!R56="Veteran",12,IF('Player Board'!R56="Prime",7,IF('Player Board'!R56="Young",3,-4))),IF($B$6="Rebuilder",IF('Player Board'!R56="Rookie",15,IF('Player Board'!R56="Young",10,IF('Player Board'!R56="Prime",2,-15))),IF('Player Board'!R56="Veteran",-2,IF('Player Board'!R56="Rookie",4,2)))))+MAX(-20,MIN(20,($B$4-IF(O57="",N57,O57))*2))+(IFERROR(IF(INDEX('Player Board'!$F$4:$F$163,MATCH(N57+1,'Player Board'!$H$4:$H$163,0))&gt;'Player Board'!F56,8,0),0)))</f>
        <v>-9999</v>
      </c>
      <c r="Q57">
        <f t="shared" si="15"/>
        <v>-9998.9845000000005</v>
      </c>
      <c r="R57">
        <f>IF(AND('Draft Tracker'!D56="Noah",'Draft Tracker'!A56&gt;$B$4),'Draft Tracker'!A56,9999)</f>
        <v>53</v>
      </c>
      <c r="S57">
        <f>IF(M57="","",IF(M57="QB",INDEX('Manager Profiles'!$T$5:$T$12,MATCH("Noah",'Manager Profiles'!$A$5:$A$12,0)),IF(M57="RB",INDEX('Manager Profiles'!$U$5:$U$12,MATCH("Noah",'Manager Profiles'!$A$5:$A$12,0)),IF(M57="WR",INDEX('Manager Profiles'!$V$5:$V$12,MATCH("Noah",'Manager Profiles'!$A$5:$A$12,0)),IF(M57="TE",INDEX('Manager Profiles'!$W$5:$W$12,MATCH("Noah",'Manager Profiles'!$A$5:$A$12,0)),0)))))</f>
        <v>4</v>
      </c>
      <c r="T57">
        <f>IF(M57="","",IF(M57="QB",INDEX('Manager Profiles'!$T$5:$T$12,MATCH($B$5,'Manager Profiles'!$A$5:$A$12,0)),IF(M57="RB",INDEX('Manager Profiles'!$U$5:$U$12,MATCH($B$5,'Manager Profiles'!$A$5:$A$12,0)),IF(M57="WR",INDEX('Manager Profiles'!$V$5:$V$12,MATCH($B$5,'Manager Profiles'!$A$5:$A$12,0)),IF(M57="TE",INDEX('Manager Profiles'!$W$5:$W$12,MATCH($B$5,'Manager Profiles'!$A$5:$A$12,0)),0)))))</f>
        <v>9</v>
      </c>
      <c r="U57">
        <f t="shared" si="16"/>
        <v>-5</v>
      </c>
      <c r="V57" t="str">
        <f t="shared" si="17"/>
        <v/>
      </c>
      <c r="W57">
        <f t="shared" ca="1" si="18"/>
        <v>-9999</v>
      </c>
      <c r="X57">
        <f ca="1">IF(M57="","",IFERROR(_xludf.MINIFS($N$5:$N$164,$M$5:$M$164,M57,$N$5:$N$164,"&gt;"&amp;N57,$P$5:$P$164,"&gt;-9999"),N57+20))</f>
        <v>65</v>
      </c>
      <c r="Y57">
        <f t="shared" ca="1" si="19"/>
        <v>20</v>
      </c>
      <c r="Z57" t="str">
        <f t="shared" si="20"/>
        <v/>
      </c>
      <c r="AA57" t="str">
        <f t="shared" si="21"/>
        <v>Yes</v>
      </c>
      <c r="AB57" t="str">
        <f t="shared" ca="1" si="22"/>
        <v>Yes</v>
      </c>
      <c r="AC57" t="str">
        <f t="shared" si="23"/>
        <v>Yes</v>
      </c>
      <c r="AD57" t="str">
        <f t="shared" ca="1" si="24"/>
        <v>No</v>
      </c>
    </row>
    <row r="58" spans="12:30">
      <c r="L58" t="str">
        <f>'Player Board'!B57</f>
        <v>Christian McCaffrey</v>
      </c>
      <c r="M58" t="str">
        <f>'Player Board'!C57</f>
        <v>RB</v>
      </c>
      <c r="N58">
        <f>'Player Board'!H57</f>
        <v>42</v>
      </c>
      <c r="O58" t="str">
        <f>'Player Board'!Q57</f>
        <v/>
      </c>
      <c r="P58">
        <f>IF(NOT(AND('Player Board'!J57="No",'Player Board'!K57="No")),-9999,(325-N58*2)+((IF(M58="QB",INDEX('Manager Profiles'!$T$5:$T$12,MATCH($B$5,'Manager Profiles'!$A$5:$A$12,0)),IF(M58="RB",INDEX('Manager Profiles'!$U$5:$U$12,MATCH($B$5,'Manager Profiles'!$A$5:$A$12,0)),IF(M58="WR",INDEX('Manager Profiles'!$V$5:$V$12,MATCH($B$5,'Manager Profiles'!$A$5:$A$12,0)),IF(M58="TE",INDEX('Manager Profiles'!$W$5:$W$12,MATCH($B$5,'Manager Profiles'!$A$5:$A$12,0)),0)))))*3)+(IF($B$6="Contender",IF('Player Board'!R57="Veteran",12,IF('Player Board'!R57="Prime",7,IF('Player Board'!R57="Young",3,-4))),IF($B$6="Rebuilder",IF('Player Board'!R57="Rookie",15,IF('Player Board'!R57="Young",10,IF('Player Board'!R57="Prime",2,-15))),IF('Player Board'!R57="Veteran",-2,IF('Player Board'!R57="Rookie",4,2)))))+MAX(-20,MIN(20,($B$4-IF(O58="",N58,O58))*2))+(IFERROR(IF(INDEX('Player Board'!$F$4:$F$163,MATCH(N58+1,'Player Board'!$H$4:$H$163,0))&gt;'Player Board'!F57,8,0),0)))</f>
        <v>-9999</v>
      </c>
      <c r="Q58">
        <f t="shared" si="15"/>
        <v>-9998.9842000000008</v>
      </c>
      <c r="R58">
        <f>IF(AND('Draft Tracker'!D57="Noah",'Draft Tracker'!A57&gt;$B$4),'Draft Tracker'!A57,9999)</f>
        <v>9999</v>
      </c>
      <c r="S58">
        <f>IF(M58="","",IF(M58="QB",INDEX('Manager Profiles'!$T$5:$T$12,MATCH("Noah",'Manager Profiles'!$A$5:$A$12,0)),IF(M58="RB",INDEX('Manager Profiles'!$U$5:$U$12,MATCH("Noah",'Manager Profiles'!$A$5:$A$12,0)),IF(M58="WR",INDEX('Manager Profiles'!$V$5:$V$12,MATCH("Noah",'Manager Profiles'!$A$5:$A$12,0)),IF(M58="TE",INDEX('Manager Profiles'!$W$5:$W$12,MATCH("Noah",'Manager Profiles'!$A$5:$A$12,0)),0)))))</f>
        <v>4</v>
      </c>
      <c r="T58">
        <f>IF(M58="","",IF(M58="QB",INDEX('Manager Profiles'!$T$5:$T$12,MATCH($B$5,'Manager Profiles'!$A$5:$A$12,0)),IF(M58="RB",INDEX('Manager Profiles'!$U$5:$U$12,MATCH($B$5,'Manager Profiles'!$A$5:$A$12,0)),IF(M58="WR",INDEX('Manager Profiles'!$V$5:$V$12,MATCH($B$5,'Manager Profiles'!$A$5:$A$12,0)),IF(M58="TE",INDEX('Manager Profiles'!$W$5:$W$12,MATCH($B$5,'Manager Profiles'!$A$5:$A$12,0)),0)))))</f>
        <v>9</v>
      </c>
      <c r="U58">
        <f t="shared" si="16"/>
        <v>-5</v>
      </c>
      <c r="V58" t="str">
        <f t="shared" si="17"/>
        <v/>
      </c>
      <c r="W58">
        <f t="shared" ca="1" si="18"/>
        <v>-9999</v>
      </c>
      <c r="X58">
        <f ca="1">IF(M58="","",IFERROR(_xludf.MINIFS($N$5:$N$164,$M$5:$M$164,M58,$N$5:$N$164,"&gt;"&amp;N58,$P$5:$P$164,"&gt;-9999"),N58+20))</f>
        <v>62</v>
      </c>
      <c r="Y58">
        <f t="shared" ca="1" si="19"/>
        <v>20</v>
      </c>
      <c r="Z58" t="str">
        <f t="shared" si="20"/>
        <v/>
      </c>
      <c r="AA58" t="str">
        <f t="shared" si="21"/>
        <v>Yes</v>
      </c>
      <c r="AB58" t="str">
        <f t="shared" ca="1" si="22"/>
        <v>Yes</v>
      </c>
      <c r="AC58" t="str">
        <f t="shared" si="23"/>
        <v>Yes</v>
      </c>
      <c r="AD58" t="str">
        <f t="shared" ca="1" si="24"/>
        <v>No</v>
      </c>
    </row>
    <row r="59" spans="12:30">
      <c r="L59" t="str">
        <f>'Player Board'!B58</f>
        <v>A.J. Brown</v>
      </c>
      <c r="M59" t="str">
        <f>'Player Board'!C58</f>
        <v>WR</v>
      </c>
      <c r="N59">
        <f>'Player Board'!H58</f>
        <v>36</v>
      </c>
      <c r="O59" t="str">
        <f>'Player Board'!Q58</f>
        <v/>
      </c>
      <c r="P59">
        <f>IF(NOT(AND('Player Board'!J58="No",'Player Board'!K58="No")),-9999,(325-N59*2)+((IF(M59="QB",INDEX('Manager Profiles'!$T$5:$T$12,MATCH($B$5,'Manager Profiles'!$A$5:$A$12,0)),IF(M59="RB",INDEX('Manager Profiles'!$U$5:$U$12,MATCH($B$5,'Manager Profiles'!$A$5:$A$12,0)),IF(M59="WR",INDEX('Manager Profiles'!$V$5:$V$12,MATCH($B$5,'Manager Profiles'!$A$5:$A$12,0)),IF(M59="TE",INDEX('Manager Profiles'!$W$5:$W$12,MATCH($B$5,'Manager Profiles'!$A$5:$A$12,0)),0)))))*3)+(IF($B$6="Contender",IF('Player Board'!R58="Veteran",12,IF('Player Board'!R58="Prime",7,IF('Player Board'!R58="Young",3,-4))),IF($B$6="Rebuilder",IF('Player Board'!R58="Rookie",15,IF('Player Board'!R58="Young",10,IF('Player Board'!R58="Prime",2,-15))),IF('Player Board'!R58="Veteran",-2,IF('Player Board'!R58="Rookie",4,2)))))+MAX(-20,MIN(20,($B$4-IF(O59="",N59,O59))*2))+(IFERROR(IF(INDEX('Player Board'!$F$4:$F$163,MATCH(N59+1,'Player Board'!$H$4:$H$163,0))&gt;'Player Board'!F58,8,0),0)))</f>
        <v>-9999</v>
      </c>
      <c r="Q59">
        <f t="shared" si="15"/>
        <v>-9998.9835999999996</v>
      </c>
      <c r="R59">
        <f>IF(AND('Draft Tracker'!D58="Noah",'Draft Tracker'!A58&gt;$B$4),'Draft Tracker'!A58,9999)</f>
        <v>9999</v>
      </c>
      <c r="S59">
        <f>IF(M59="","",IF(M59="QB",INDEX('Manager Profiles'!$T$5:$T$12,MATCH("Noah",'Manager Profiles'!$A$5:$A$12,0)),IF(M59="RB",INDEX('Manager Profiles'!$U$5:$U$12,MATCH("Noah",'Manager Profiles'!$A$5:$A$12,0)),IF(M59="WR",INDEX('Manager Profiles'!$V$5:$V$12,MATCH("Noah",'Manager Profiles'!$A$5:$A$12,0)),IF(M59="TE",INDEX('Manager Profiles'!$W$5:$W$12,MATCH("Noah",'Manager Profiles'!$A$5:$A$12,0)),0)))))</f>
        <v>1</v>
      </c>
      <c r="T59">
        <f>IF(M59="","",IF(M59="QB",INDEX('Manager Profiles'!$T$5:$T$12,MATCH($B$5,'Manager Profiles'!$A$5:$A$12,0)),IF(M59="RB",INDEX('Manager Profiles'!$U$5:$U$12,MATCH($B$5,'Manager Profiles'!$A$5:$A$12,0)),IF(M59="WR",INDEX('Manager Profiles'!$V$5:$V$12,MATCH($B$5,'Manager Profiles'!$A$5:$A$12,0)),IF(M59="TE",INDEX('Manager Profiles'!$W$5:$W$12,MATCH($B$5,'Manager Profiles'!$A$5:$A$12,0)),0)))))</f>
        <v>3</v>
      </c>
      <c r="U59">
        <f t="shared" si="16"/>
        <v>-2</v>
      </c>
      <c r="V59" t="str">
        <f t="shared" si="17"/>
        <v/>
      </c>
      <c r="W59">
        <f t="shared" ca="1" si="18"/>
        <v>-9999</v>
      </c>
      <c r="X59">
        <f ca="1">IF(M59="","",IFERROR(_xludf.MINIFS($N$5:$N$164,$M$5:$M$164,M59,$N$5:$N$164,"&gt;"&amp;N59,$P$5:$P$164,"&gt;-9999"),N59+20))</f>
        <v>56</v>
      </c>
      <c r="Y59">
        <f t="shared" ca="1" si="19"/>
        <v>20</v>
      </c>
      <c r="Z59" t="str">
        <f t="shared" si="20"/>
        <v/>
      </c>
      <c r="AA59" t="str">
        <f t="shared" si="21"/>
        <v>No</v>
      </c>
      <c r="AB59" t="str">
        <f t="shared" ca="1" si="22"/>
        <v>Yes</v>
      </c>
      <c r="AC59" t="str">
        <f t="shared" si="23"/>
        <v>Yes</v>
      </c>
      <c r="AD59" t="str">
        <f t="shared" ca="1" si="24"/>
        <v>No</v>
      </c>
    </row>
    <row r="60" spans="12:30">
      <c r="L60" t="str">
        <f>'Player Board'!B59</f>
        <v>Saquon Barkley</v>
      </c>
      <c r="M60" t="str">
        <f>'Player Board'!C59</f>
        <v>RB</v>
      </c>
      <c r="N60">
        <f>'Player Board'!H59</f>
        <v>34</v>
      </c>
      <c r="O60" t="str">
        <f>'Player Board'!Q59</f>
        <v/>
      </c>
      <c r="P60">
        <f>IF(NOT(AND('Player Board'!J59="No",'Player Board'!K59="No")),-9999,(325-N60*2)+((IF(M60="QB",INDEX('Manager Profiles'!$T$5:$T$12,MATCH($B$5,'Manager Profiles'!$A$5:$A$12,0)),IF(M60="RB",INDEX('Manager Profiles'!$U$5:$U$12,MATCH($B$5,'Manager Profiles'!$A$5:$A$12,0)),IF(M60="WR",INDEX('Manager Profiles'!$V$5:$V$12,MATCH($B$5,'Manager Profiles'!$A$5:$A$12,0)),IF(M60="TE",INDEX('Manager Profiles'!$W$5:$W$12,MATCH($B$5,'Manager Profiles'!$A$5:$A$12,0)),0)))))*3)+(IF($B$6="Contender",IF('Player Board'!R59="Veteran",12,IF('Player Board'!R59="Prime",7,IF('Player Board'!R59="Young",3,-4))),IF($B$6="Rebuilder",IF('Player Board'!R59="Rookie",15,IF('Player Board'!R59="Young",10,IF('Player Board'!R59="Prime",2,-15))),IF('Player Board'!R59="Veteran",-2,IF('Player Board'!R59="Rookie",4,2)))))+MAX(-20,MIN(20,($B$4-IF(O60="",N60,O60))*2))+(IFERROR(IF(INDEX('Player Board'!$F$4:$F$163,MATCH(N60+1,'Player Board'!$H$4:$H$163,0))&gt;'Player Board'!F59,8,0),0)))</f>
        <v>-9999</v>
      </c>
      <c r="Q60">
        <f t="shared" si="15"/>
        <v>-9998.9833999999992</v>
      </c>
      <c r="R60">
        <f>IF(AND('Draft Tracker'!D59="Noah",'Draft Tracker'!A59&gt;$B$4),'Draft Tracker'!A59,9999)</f>
        <v>56</v>
      </c>
      <c r="S60">
        <f>IF(M60="","",IF(M60="QB",INDEX('Manager Profiles'!$T$5:$T$12,MATCH("Noah",'Manager Profiles'!$A$5:$A$12,0)),IF(M60="RB",INDEX('Manager Profiles'!$U$5:$U$12,MATCH("Noah",'Manager Profiles'!$A$5:$A$12,0)),IF(M60="WR",INDEX('Manager Profiles'!$V$5:$V$12,MATCH("Noah",'Manager Profiles'!$A$5:$A$12,0)),IF(M60="TE",INDEX('Manager Profiles'!$W$5:$W$12,MATCH("Noah",'Manager Profiles'!$A$5:$A$12,0)),0)))))</f>
        <v>4</v>
      </c>
      <c r="T60">
        <f>IF(M60="","",IF(M60="QB",INDEX('Manager Profiles'!$T$5:$T$12,MATCH($B$5,'Manager Profiles'!$A$5:$A$12,0)),IF(M60="RB",INDEX('Manager Profiles'!$U$5:$U$12,MATCH($B$5,'Manager Profiles'!$A$5:$A$12,0)),IF(M60="WR",INDEX('Manager Profiles'!$V$5:$V$12,MATCH($B$5,'Manager Profiles'!$A$5:$A$12,0)),IF(M60="TE",INDEX('Manager Profiles'!$W$5:$W$12,MATCH($B$5,'Manager Profiles'!$A$5:$A$12,0)),0)))))</f>
        <v>9</v>
      </c>
      <c r="U60">
        <f t="shared" si="16"/>
        <v>-5</v>
      </c>
      <c r="V60" t="str">
        <f t="shared" si="17"/>
        <v/>
      </c>
      <c r="W60">
        <f t="shared" ca="1" si="18"/>
        <v>-9999</v>
      </c>
      <c r="X60">
        <f ca="1">IF(M60="","",IFERROR(_xludf.MINIFS($N$5:$N$164,$M$5:$M$164,M60,$N$5:$N$164,"&gt;"&amp;N60,$P$5:$P$164,"&gt;-9999"),N60+20))</f>
        <v>54</v>
      </c>
      <c r="Y60">
        <f t="shared" ca="1" si="19"/>
        <v>20</v>
      </c>
      <c r="Z60" t="str">
        <f t="shared" si="20"/>
        <v/>
      </c>
      <c r="AA60" t="str">
        <f t="shared" si="21"/>
        <v>Yes</v>
      </c>
      <c r="AB60" t="str">
        <f t="shared" ca="1" si="22"/>
        <v>Yes</v>
      </c>
      <c r="AC60" t="str">
        <f t="shared" si="23"/>
        <v>Yes</v>
      </c>
      <c r="AD60" t="str">
        <f t="shared" ca="1" si="24"/>
        <v>No</v>
      </c>
    </row>
    <row r="61" spans="12:30">
      <c r="L61" t="str">
        <f>'Player Board'!B60</f>
        <v>Makai Lemon</v>
      </c>
      <c r="M61" t="str">
        <f>'Player Board'!C60</f>
        <v>WR</v>
      </c>
      <c r="N61">
        <f>'Player Board'!H60</f>
        <v>52</v>
      </c>
      <c r="O61">
        <f>'Player Board'!Q60</f>
        <v>4</v>
      </c>
      <c r="P61">
        <f>IF(NOT(AND('Player Board'!J60="No",'Player Board'!K60="No")),-9999,(325-N61*2)+((IF(M61="QB",INDEX('Manager Profiles'!$T$5:$T$12,MATCH($B$5,'Manager Profiles'!$A$5:$A$12,0)),IF(M61="RB",INDEX('Manager Profiles'!$U$5:$U$12,MATCH($B$5,'Manager Profiles'!$A$5:$A$12,0)),IF(M61="WR",INDEX('Manager Profiles'!$V$5:$V$12,MATCH($B$5,'Manager Profiles'!$A$5:$A$12,0)),IF(M61="TE",INDEX('Manager Profiles'!$W$5:$W$12,MATCH($B$5,'Manager Profiles'!$A$5:$A$12,0)),0)))))*3)+(IF($B$6="Contender",IF('Player Board'!R60="Veteran",12,IF('Player Board'!R60="Prime",7,IF('Player Board'!R60="Young",3,-4))),IF($B$6="Rebuilder",IF('Player Board'!R60="Rookie",15,IF('Player Board'!R60="Young",10,IF('Player Board'!R60="Prime",2,-15))),IF('Player Board'!R60="Veteran",-2,IF('Player Board'!R60="Rookie",4,2)))))+MAX(-20,MIN(20,($B$4-IF(O61="",N61,O61))*2))+(IFERROR(IF(INDEX('Player Board'!$F$4:$F$163,MATCH(N61+1,'Player Board'!$H$4:$H$163,0))&gt;'Player Board'!F60,8,0),0)))</f>
        <v>228</v>
      </c>
      <c r="Q61">
        <f t="shared" si="15"/>
        <v>228.01480000000001</v>
      </c>
      <c r="R61">
        <f>IF(AND('Draft Tracker'!D60="Noah",'Draft Tracker'!A60&gt;$B$4),'Draft Tracker'!A60,9999)</f>
        <v>9999</v>
      </c>
      <c r="S61">
        <f>IF(M61="","",IF(M61="QB",INDEX('Manager Profiles'!$T$5:$T$12,MATCH("Noah",'Manager Profiles'!$A$5:$A$12,0)),IF(M61="RB",INDEX('Manager Profiles'!$U$5:$U$12,MATCH("Noah",'Manager Profiles'!$A$5:$A$12,0)),IF(M61="WR",INDEX('Manager Profiles'!$V$5:$V$12,MATCH("Noah",'Manager Profiles'!$A$5:$A$12,0)),IF(M61="TE",INDEX('Manager Profiles'!$W$5:$W$12,MATCH("Noah",'Manager Profiles'!$A$5:$A$12,0)),0)))))</f>
        <v>1</v>
      </c>
      <c r="T61">
        <f>IF(M61="","",IF(M61="QB",INDEX('Manager Profiles'!$T$5:$T$12,MATCH($B$5,'Manager Profiles'!$A$5:$A$12,0)),IF(M61="RB",INDEX('Manager Profiles'!$U$5:$U$12,MATCH($B$5,'Manager Profiles'!$A$5:$A$12,0)),IF(M61="WR",INDEX('Manager Profiles'!$V$5:$V$12,MATCH($B$5,'Manager Profiles'!$A$5:$A$12,0)),IF(M61="TE",INDEX('Manager Profiles'!$W$5:$W$12,MATCH($B$5,'Manager Profiles'!$A$5:$A$12,0)),0)))))</f>
        <v>3</v>
      </c>
      <c r="U61">
        <f t="shared" si="16"/>
        <v>-2</v>
      </c>
      <c r="V61">
        <f t="shared" si="17"/>
        <v>9</v>
      </c>
      <c r="W61">
        <f t="shared" ca="1" si="18"/>
        <v>-9999</v>
      </c>
      <c r="X61">
        <f ca="1">IF(M61="","",IFERROR(_xludf.MINIFS($N$5:$N$164,$M$5:$M$164,M61,$N$5:$N$164,"&gt;"&amp;N61,$P$5:$P$164,"&gt;-9999"),N61+20))</f>
        <v>72</v>
      </c>
      <c r="Y61">
        <f t="shared" ca="1" si="19"/>
        <v>20</v>
      </c>
      <c r="Z61">
        <f t="shared" si="20"/>
        <v>-3</v>
      </c>
      <c r="AA61" t="str">
        <f t="shared" si="21"/>
        <v>No</v>
      </c>
      <c r="AB61" t="str">
        <f t="shared" ca="1" si="22"/>
        <v>Yes</v>
      </c>
      <c r="AC61" t="str">
        <f t="shared" si="23"/>
        <v>No</v>
      </c>
      <c r="AD61" t="str">
        <f t="shared" ca="1" si="24"/>
        <v>No</v>
      </c>
    </row>
    <row r="62" spans="12:30">
      <c r="L62" t="str">
        <f>'Player Board'!B61</f>
        <v>Dak Prescott</v>
      </c>
      <c r="M62" t="str">
        <f>'Player Board'!C61</f>
        <v>QB</v>
      </c>
      <c r="N62">
        <f>'Player Board'!H61</f>
        <v>57</v>
      </c>
      <c r="O62" t="str">
        <f>'Player Board'!Q61</f>
        <v/>
      </c>
      <c r="P62">
        <f>IF(NOT(AND('Player Board'!J61="No",'Player Board'!K61="No")),-9999,(325-N62*2)+((IF(M62="QB",INDEX('Manager Profiles'!$T$5:$T$12,MATCH($B$5,'Manager Profiles'!$A$5:$A$12,0)),IF(M62="RB",INDEX('Manager Profiles'!$U$5:$U$12,MATCH($B$5,'Manager Profiles'!$A$5:$A$12,0)),IF(M62="WR",INDEX('Manager Profiles'!$V$5:$V$12,MATCH($B$5,'Manager Profiles'!$A$5:$A$12,0)),IF(M62="TE",INDEX('Manager Profiles'!$W$5:$W$12,MATCH($B$5,'Manager Profiles'!$A$5:$A$12,0)),0)))))*3)+(IF($B$6="Contender",IF('Player Board'!R61="Veteran",12,IF('Player Board'!R61="Prime",7,IF('Player Board'!R61="Young",3,-4))),IF($B$6="Rebuilder",IF('Player Board'!R61="Rookie",15,IF('Player Board'!R61="Young",10,IF('Player Board'!R61="Prime",2,-15))),IF('Player Board'!R61="Veteran",-2,IF('Player Board'!R61="Rookie",4,2)))))+MAX(-20,MIN(20,($B$4-IF(O62="",N62,O62))*2))+(IFERROR(IF(INDEX('Player Board'!$F$4:$F$163,MATCH(N62+1,'Player Board'!$H$4:$H$163,0))&gt;'Player Board'!F61,8,0),0)))</f>
        <v>-9999</v>
      </c>
      <c r="Q62">
        <f t="shared" si="15"/>
        <v>-9998.9856999999993</v>
      </c>
      <c r="R62">
        <f>IF(AND('Draft Tracker'!D61="Noah",'Draft Tracker'!A61&gt;$B$4),'Draft Tracker'!A61,9999)</f>
        <v>9999</v>
      </c>
      <c r="S62">
        <f>IF(M62="","",IF(M62="QB",INDEX('Manager Profiles'!$T$5:$T$12,MATCH("Noah",'Manager Profiles'!$A$5:$A$12,0)),IF(M62="RB",INDEX('Manager Profiles'!$U$5:$U$12,MATCH("Noah",'Manager Profiles'!$A$5:$A$12,0)),IF(M62="WR",INDEX('Manager Profiles'!$V$5:$V$12,MATCH("Noah",'Manager Profiles'!$A$5:$A$12,0)),IF(M62="TE",INDEX('Manager Profiles'!$W$5:$W$12,MATCH("Noah",'Manager Profiles'!$A$5:$A$12,0)),0)))))</f>
        <v>9</v>
      </c>
      <c r="T62">
        <f>IF(M62="","",IF(M62="QB",INDEX('Manager Profiles'!$T$5:$T$12,MATCH($B$5,'Manager Profiles'!$A$5:$A$12,0)),IF(M62="RB",INDEX('Manager Profiles'!$U$5:$U$12,MATCH($B$5,'Manager Profiles'!$A$5:$A$12,0)),IF(M62="WR",INDEX('Manager Profiles'!$V$5:$V$12,MATCH($B$5,'Manager Profiles'!$A$5:$A$12,0)),IF(M62="TE",INDEX('Manager Profiles'!$W$5:$W$12,MATCH($B$5,'Manager Profiles'!$A$5:$A$12,0)),0)))))</f>
        <v>2</v>
      </c>
      <c r="U62">
        <f t="shared" si="16"/>
        <v>7</v>
      </c>
      <c r="V62" t="str">
        <f t="shared" si="17"/>
        <v/>
      </c>
      <c r="W62">
        <f t="shared" ca="1" si="18"/>
        <v>-9999</v>
      </c>
      <c r="X62">
        <f ca="1">IF(M62="","",IFERROR(_xludf.MINIFS($N$5:$N$164,$M$5:$M$164,M62,$N$5:$N$164,"&gt;"&amp;N62,$P$5:$P$164,"&gt;-9999"),N62+20))</f>
        <v>77</v>
      </c>
      <c r="Y62">
        <f t="shared" ca="1" si="19"/>
        <v>20</v>
      </c>
      <c r="Z62" t="str">
        <f t="shared" si="20"/>
        <v/>
      </c>
      <c r="AA62" t="str">
        <f t="shared" si="21"/>
        <v>Yes</v>
      </c>
      <c r="AB62" t="str">
        <f t="shared" ca="1" si="22"/>
        <v>Yes</v>
      </c>
      <c r="AC62" t="str">
        <f t="shared" si="23"/>
        <v>Yes</v>
      </c>
      <c r="AD62" t="str">
        <f t="shared" ca="1" si="24"/>
        <v>Yes</v>
      </c>
    </row>
    <row r="63" spans="12:30">
      <c r="L63" t="str">
        <f>'Player Board'!B62</f>
        <v>Kyren Williams</v>
      </c>
      <c r="M63" t="str">
        <f>'Player Board'!C62</f>
        <v>RB</v>
      </c>
      <c r="N63">
        <f>'Player Board'!H62</f>
        <v>66</v>
      </c>
      <c r="O63" t="str">
        <f>'Player Board'!Q62</f>
        <v/>
      </c>
      <c r="P63">
        <f>IF(NOT(AND('Player Board'!J62="No",'Player Board'!K62="No")),-9999,(325-N63*2)+((IF(M63="QB",INDEX('Manager Profiles'!$T$5:$T$12,MATCH($B$5,'Manager Profiles'!$A$5:$A$12,0)),IF(M63="RB",INDEX('Manager Profiles'!$U$5:$U$12,MATCH($B$5,'Manager Profiles'!$A$5:$A$12,0)),IF(M63="WR",INDEX('Manager Profiles'!$V$5:$V$12,MATCH($B$5,'Manager Profiles'!$A$5:$A$12,0)),IF(M63="TE",INDEX('Manager Profiles'!$W$5:$W$12,MATCH($B$5,'Manager Profiles'!$A$5:$A$12,0)),0)))))*3)+(IF($B$6="Contender",IF('Player Board'!R62="Veteran",12,IF('Player Board'!R62="Prime",7,IF('Player Board'!R62="Young",3,-4))),IF($B$6="Rebuilder",IF('Player Board'!R62="Rookie",15,IF('Player Board'!R62="Young",10,IF('Player Board'!R62="Prime",2,-15))),IF('Player Board'!R62="Veteran",-2,IF('Player Board'!R62="Rookie",4,2)))))+MAX(-20,MIN(20,($B$4-IF(O63="",N63,O63))*2))+(IFERROR(IF(INDEX('Player Board'!$F$4:$F$163,MATCH(N63+1,'Player Board'!$H$4:$H$163,0))&gt;'Player Board'!F62,8,0),0)))</f>
        <v>-9999</v>
      </c>
      <c r="Q63">
        <f t="shared" si="15"/>
        <v>-9998.9866000000002</v>
      </c>
      <c r="R63">
        <f>IF(AND('Draft Tracker'!D62="Noah",'Draft Tracker'!A62&gt;$B$4),'Draft Tracker'!A62,9999)</f>
        <v>9999</v>
      </c>
      <c r="S63">
        <f>IF(M63="","",IF(M63="QB",INDEX('Manager Profiles'!$T$5:$T$12,MATCH("Noah",'Manager Profiles'!$A$5:$A$12,0)),IF(M63="RB",INDEX('Manager Profiles'!$U$5:$U$12,MATCH("Noah",'Manager Profiles'!$A$5:$A$12,0)),IF(M63="WR",INDEX('Manager Profiles'!$V$5:$V$12,MATCH("Noah",'Manager Profiles'!$A$5:$A$12,0)),IF(M63="TE",INDEX('Manager Profiles'!$W$5:$W$12,MATCH("Noah",'Manager Profiles'!$A$5:$A$12,0)),0)))))</f>
        <v>4</v>
      </c>
      <c r="T63">
        <f>IF(M63="","",IF(M63="QB",INDEX('Manager Profiles'!$T$5:$T$12,MATCH($B$5,'Manager Profiles'!$A$5:$A$12,0)),IF(M63="RB",INDEX('Manager Profiles'!$U$5:$U$12,MATCH($B$5,'Manager Profiles'!$A$5:$A$12,0)),IF(M63="WR",INDEX('Manager Profiles'!$V$5:$V$12,MATCH($B$5,'Manager Profiles'!$A$5:$A$12,0)),IF(M63="TE",INDEX('Manager Profiles'!$W$5:$W$12,MATCH($B$5,'Manager Profiles'!$A$5:$A$12,0)),0)))))</f>
        <v>9</v>
      </c>
      <c r="U63">
        <f t="shared" si="16"/>
        <v>-5</v>
      </c>
      <c r="V63" t="str">
        <f t="shared" si="17"/>
        <v/>
      </c>
      <c r="W63">
        <f t="shared" ca="1" si="18"/>
        <v>-9999</v>
      </c>
      <c r="X63">
        <f ca="1">IF(M63="","",IFERROR(_xludf.MINIFS($N$5:$N$164,$M$5:$M$164,M63,$N$5:$N$164,"&gt;"&amp;N63,$P$5:$P$164,"&gt;-9999"),N63+20))</f>
        <v>86</v>
      </c>
      <c r="Y63">
        <f t="shared" ca="1" si="19"/>
        <v>20</v>
      </c>
      <c r="Z63" t="str">
        <f t="shared" si="20"/>
        <v/>
      </c>
      <c r="AA63" t="str">
        <f t="shared" si="21"/>
        <v>Yes</v>
      </c>
      <c r="AB63" t="str">
        <f t="shared" ca="1" si="22"/>
        <v>Yes</v>
      </c>
      <c r="AC63" t="str">
        <f t="shared" si="23"/>
        <v>Yes</v>
      </c>
      <c r="AD63" t="str">
        <f t="shared" ca="1" si="24"/>
        <v>No</v>
      </c>
    </row>
    <row r="64" spans="12:30">
      <c r="L64" t="str">
        <f>'Player Board'!B63</f>
        <v>Zay Flowers</v>
      </c>
      <c r="M64" t="str">
        <f>'Player Board'!C63</f>
        <v>WR</v>
      </c>
      <c r="N64">
        <f>'Player Board'!H63</f>
        <v>65</v>
      </c>
      <c r="O64" t="str">
        <f>'Player Board'!Q63</f>
        <v/>
      </c>
      <c r="P64">
        <f>IF(NOT(AND('Player Board'!J63="No",'Player Board'!K63="No")),-9999,(325-N64*2)+((IF(M64="QB",INDEX('Manager Profiles'!$T$5:$T$12,MATCH($B$5,'Manager Profiles'!$A$5:$A$12,0)),IF(M64="RB",INDEX('Manager Profiles'!$U$5:$U$12,MATCH($B$5,'Manager Profiles'!$A$5:$A$12,0)),IF(M64="WR",INDEX('Manager Profiles'!$V$5:$V$12,MATCH($B$5,'Manager Profiles'!$A$5:$A$12,0)),IF(M64="TE",INDEX('Manager Profiles'!$W$5:$W$12,MATCH($B$5,'Manager Profiles'!$A$5:$A$12,0)),0)))))*3)+(IF($B$6="Contender",IF('Player Board'!R63="Veteran",12,IF('Player Board'!R63="Prime",7,IF('Player Board'!R63="Young",3,-4))),IF($B$6="Rebuilder",IF('Player Board'!R63="Rookie",15,IF('Player Board'!R63="Young",10,IF('Player Board'!R63="Prime",2,-15))),IF('Player Board'!R63="Veteran",-2,IF('Player Board'!R63="Rookie",4,2)))))+MAX(-20,MIN(20,($B$4-IF(O64="",N64,O64))*2))+(IFERROR(IF(INDEX('Player Board'!$F$4:$F$163,MATCH(N64+1,'Player Board'!$H$4:$H$163,0))&gt;'Player Board'!F63,8,0),0)))</f>
        <v>-9999</v>
      </c>
      <c r="Q64">
        <f t="shared" si="15"/>
        <v>-9998.9865000000009</v>
      </c>
      <c r="R64">
        <f>IF(AND('Draft Tracker'!D63="Noah",'Draft Tracker'!A63&gt;$B$4),'Draft Tracker'!A63,9999)</f>
        <v>60</v>
      </c>
      <c r="S64">
        <f>IF(M64="","",IF(M64="QB",INDEX('Manager Profiles'!$T$5:$T$12,MATCH("Noah",'Manager Profiles'!$A$5:$A$12,0)),IF(M64="RB",INDEX('Manager Profiles'!$U$5:$U$12,MATCH("Noah",'Manager Profiles'!$A$5:$A$12,0)),IF(M64="WR",INDEX('Manager Profiles'!$V$5:$V$12,MATCH("Noah",'Manager Profiles'!$A$5:$A$12,0)),IF(M64="TE",INDEX('Manager Profiles'!$W$5:$W$12,MATCH("Noah",'Manager Profiles'!$A$5:$A$12,0)),0)))))</f>
        <v>1</v>
      </c>
      <c r="T64">
        <f>IF(M64="","",IF(M64="QB",INDEX('Manager Profiles'!$T$5:$T$12,MATCH($B$5,'Manager Profiles'!$A$5:$A$12,0)),IF(M64="RB",INDEX('Manager Profiles'!$U$5:$U$12,MATCH($B$5,'Manager Profiles'!$A$5:$A$12,0)),IF(M64="WR",INDEX('Manager Profiles'!$V$5:$V$12,MATCH($B$5,'Manager Profiles'!$A$5:$A$12,0)),IF(M64="TE",INDEX('Manager Profiles'!$W$5:$W$12,MATCH($B$5,'Manager Profiles'!$A$5:$A$12,0)),0)))))</f>
        <v>3</v>
      </c>
      <c r="U64">
        <f t="shared" si="16"/>
        <v>-2</v>
      </c>
      <c r="V64" t="str">
        <f t="shared" si="17"/>
        <v/>
      </c>
      <c r="W64">
        <f t="shared" ca="1" si="18"/>
        <v>-9999</v>
      </c>
      <c r="X64">
        <f ca="1">IF(M64="","",IFERROR(_xludf.MINIFS($N$5:$N$164,$M$5:$M$164,M64,$N$5:$N$164,"&gt;"&amp;N64,$P$5:$P$164,"&gt;-9999"),N64+20))</f>
        <v>85</v>
      </c>
      <c r="Y64">
        <f t="shared" ca="1" si="19"/>
        <v>20</v>
      </c>
      <c r="Z64" t="str">
        <f t="shared" si="20"/>
        <v/>
      </c>
      <c r="AA64" t="str">
        <f t="shared" si="21"/>
        <v>No</v>
      </c>
      <c r="AB64" t="str">
        <f t="shared" ca="1" si="22"/>
        <v>Yes</v>
      </c>
      <c r="AC64" t="str">
        <f t="shared" si="23"/>
        <v>Yes</v>
      </c>
      <c r="AD64" t="str">
        <f t="shared" ca="1" si="24"/>
        <v>No</v>
      </c>
    </row>
    <row r="65" spans="12:30">
      <c r="L65" t="str">
        <f>'Player Board'!B64</f>
        <v>Tucker Kraft</v>
      </c>
      <c r="M65" t="str">
        <f>'Player Board'!C64</f>
        <v>TE</v>
      </c>
      <c r="N65">
        <f>'Player Board'!H64</f>
        <v>69</v>
      </c>
      <c r="O65">
        <f>'Player Board'!Q64</f>
        <v>13</v>
      </c>
      <c r="P65">
        <f>IF(NOT(AND('Player Board'!J64="No",'Player Board'!K64="No")),-9999,(325-N65*2)+((IF(M65="QB",INDEX('Manager Profiles'!$T$5:$T$12,MATCH($B$5,'Manager Profiles'!$A$5:$A$12,0)),IF(M65="RB",INDEX('Manager Profiles'!$U$5:$U$12,MATCH($B$5,'Manager Profiles'!$A$5:$A$12,0)),IF(M65="WR",INDEX('Manager Profiles'!$V$5:$V$12,MATCH($B$5,'Manager Profiles'!$A$5:$A$12,0)),IF(M65="TE",INDEX('Manager Profiles'!$W$5:$W$12,MATCH($B$5,'Manager Profiles'!$A$5:$A$12,0)),0)))))*3)+(IF($B$6="Contender",IF('Player Board'!R64="Veteran",12,IF('Player Board'!R64="Prime",7,IF('Player Board'!R64="Young",3,-4))),IF($B$6="Rebuilder",IF('Player Board'!R64="Rookie",15,IF('Player Board'!R64="Young",10,IF('Player Board'!R64="Prime",2,-15))),IF('Player Board'!R64="Veteran",-2,IF('Player Board'!R64="Rookie",4,2)))))+MAX(-20,MIN(20,($B$4-IF(O65="",N65,O65))*2))+(IFERROR(IF(INDEX('Player Board'!$F$4:$F$163,MATCH(N65+1,'Player Board'!$H$4:$H$163,0))&gt;'Player Board'!F64,8,0),0)))</f>
        <v>178</v>
      </c>
      <c r="Q65">
        <f t="shared" si="15"/>
        <v>178.01310000000001</v>
      </c>
      <c r="R65">
        <f>IF(AND('Draft Tracker'!D64="Noah",'Draft Tracker'!A64&gt;$B$4),'Draft Tracker'!A64,9999)</f>
        <v>9999</v>
      </c>
      <c r="S65">
        <f>IF(M65="","",IF(M65="QB",INDEX('Manager Profiles'!$T$5:$T$12,MATCH("Noah",'Manager Profiles'!$A$5:$A$12,0)),IF(M65="RB",INDEX('Manager Profiles'!$U$5:$U$12,MATCH("Noah",'Manager Profiles'!$A$5:$A$12,0)),IF(M65="WR",INDEX('Manager Profiles'!$V$5:$V$12,MATCH("Noah",'Manager Profiles'!$A$5:$A$12,0)),IF(M65="TE",INDEX('Manager Profiles'!$W$5:$W$12,MATCH("Noah",'Manager Profiles'!$A$5:$A$12,0)),0)))))</f>
        <v>7</v>
      </c>
      <c r="T65">
        <f>IF(M65="","",IF(M65="QB",INDEX('Manager Profiles'!$T$5:$T$12,MATCH($B$5,'Manager Profiles'!$A$5:$A$12,0)),IF(M65="RB",INDEX('Manager Profiles'!$U$5:$U$12,MATCH($B$5,'Manager Profiles'!$A$5:$A$12,0)),IF(M65="WR",INDEX('Manager Profiles'!$V$5:$V$12,MATCH($B$5,'Manager Profiles'!$A$5:$A$12,0)),IF(M65="TE",INDEX('Manager Profiles'!$W$5:$W$12,MATCH($B$5,'Manager Profiles'!$A$5:$A$12,0)),0)))))</f>
        <v>3</v>
      </c>
      <c r="U65">
        <f t="shared" si="16"/>
        <v>4</v>
      </c>
      <c r="V65">
        <f t="shared" si="17"/>
        <v>0</v>
      </c>
      <c r="W65">
        <f t="shared" ca="1" si="18"/>
        <v>-9999</v>
      </c>
      <c r="X65">
        <f ca="1">IF(M65="","",IFERROR(_xludf.MINIFS($N$5:$N$164,$M$5:$M$164,M65,$N$5:$N$164,"&gt;"&amp;N65,$P$5:$P$164,"&gt;-9999"),N65+20))</f>
        <v>89</v>
      </c>
      <c r="Y65">
        <f t="shared" ca="1" si="19"/>
        <v>20</v>
      </c>
      <c r="Z65">
        <f t="shared" si="20"/>
        <v>-12</v>
      </c>
      <c r="AA65" t="str">
        <f t="shared" si="21"/>
        <v>No</v>
      </c>
      <c r="AB65" t="str">
        <f t="shared" ca="1" si="22"/>
        <v>Yes</v>
      </c>
      <c r="AC65" t="str">
        <f t="shared" si="23"/>
        <v>No</v>
      </c>
      <c r="AD65" t="str">
        <f t="shared" ca="1" si="24"/>
        <v>No</v>
      </c>
    </row>
    <row r="66" spans="12:30">
      <c r="L66" t="str">
        <f>'Player Board'!B65</f>
        <v>Tee Higgins</v>
      </c>
      <c r="M66" t="str">
        <f>'Player Board'!C65</f>
        <v>WR</v>
      </c>
      <c r="N66">
        <f>'Player Board'!H65</f>
        <v>55</v>
      </c>
      <c r="O66">
        <f>'Player Board'!Q65</f>
        <v>7</v>
      </c>
      <c r="P66">
        <f>IF(NOT(AND('Player Board'!J65="No",'Player Board'!K65="No")),-9999,(325-N66*2)+((IF(M66="QB",INDEX('Manager Profiles'!$T$5:$T$12,MATCH($B$5,'Manager Profiles'!$A$5:$A$12,0)),IF(M66="RB",INDEX('Manager Profiles'!$U$5:$U$12,MATCH($B$5,'Manager Profiles'!$A$5:$A$12,0)),IF(M66="WR",INDEX('Manager Profiles'!$V$5:$V$12,MATCH($B$5,'Manager Profiles'!$A$5:$A$12,0)),IF(M66="TE",INDEX('Manager Profiles'!$W$5:$W$12,MATCH($B$5,'Manager Profiles'!$A$5:$A$12,0)),0)))))*3)+(IF($B$6="Contender",IF('Player Board'!R65="Veteran",12,IF('Player Board'!R65="Prime",7,IF('Player Board'!R65="Young",3,-4))),IF($B$6="Rebuilder",IF('Player Board'!R65="Rookie",15,IF('Player Board'!R65="Young",10,IF('Player Board'!R65="Prime",2,-15))),IF('Player Board'!R65="Veteran",-2,IF('Player Board'!R65="Rookie",4,2)))))+MAX(-20,MIN(20,($B$4-IF(O66="",N66,O66))*2))+(IFERROR(IF(INDEX('Player Board'!$F$4:$F$163,MATCH(N66+1,'Player Board'!$H$4:$H$163,0))&gt;'Player Board'!F65,8,0),0)))</f>
        <v>214</v>
      </c>
      <c r="Q66">
        <f t="shared" si="15"/>
        <v>214.0145</v>
      </c>
      <c r="R66">
        <f>IF(AND('Draft Tracker'!D65="Noah",'Draft Tracker'!A65&gt;$B$4),'Draft Tracker'!A65,9999)</f>
        <v>9999</v>
      </c>
      <c r="S66">
        <f>IF(M66="","",IF(M66="QB",INDEX('Manager Profiles'!$T$5:$T$12,MATCH("Noah",'Manager Profiles'!$A$5:$A$12,0)),IF(M66="RB",INDEX('Manager Profiles'!$U$5:$U$12,MATCH("Noah",'Manager Profiles'!$A$5:$A$12,0)),IF(M66="WR",INDEX('Manager Profiles'!$V$5:$V$12,MATCH("Noah",'Manager Profiles'!$A$5:$A$12,0)),IF(M66="TE",INDEX('Manager Profiles'!$W$5:$W$12,MATCH("Noah",'Manager Profiles'!$A$5:$A$12,0)),0)))))</f>
        <v>1</v>
      </c>
      <c r="T66">
        <f>IF(M66="","",IF(M66="QB",INDEX('Manager Profiles'!$T$5:$T$12,MATCH($B$5,'Manager Profiles'!$A$5:$A$12,0)),IF(M66="RB",INDEX('Manager Profiles'!$U$5:$U$12,MATCH($B$5,'Manager Profiles'!$A$5:$A$12,0)),IF(M66="WR",INDEX('Manager Profiles'!$V$5:$V$12,MATCH($B$5,'Manager Profiles'!$A$5:$A$12,0)),IF(M66="TE",INDEX('Manager Profiles'!$W$5:$W$12,MATCH($B$5,'Manager Profiles'!$A$5:$A$12,0)),0)))))</f>
        <v>3</v>
      </c>
      <c r="U66">
        <f t="shared" si="16"/>
        <v>-2</v>
      </c>
      <c r="V66">
        <f t="shared" si="17"/>
        <v>6</v>
      </c>
      <c r="W66">
        <f t="shared" ca="1" si="18"/>
        <v>-9999</v>
      </c>
      <c r="X66">
        <f ca="1">IF(M66="","",IFERROR(_xludf.MINIFS($N$5:$N$164,$M$5:$M$164,M66,$N$5:$N$164,"&gt;"&amp;N66,$P$5:$P$164,"&gt;-9999"),N66+20))</f>
        <v>75</v>
      </c>
      <c r="Y66">
        <f t="shared" ca="1" si="19"/>
        <v>20</v>
      </c>
      <c r="Z66">
        <f t="shared" si="20"/>
        <v>-6</v>
      </c>
      <c r="AA66" t="str">
        <f t="shared" si="21"/>
        <v>No</v>
      </c>
      <c r="AB66" t="str">
        <f t="shared" ca="1" si="22"/>
        <v>Yes</v>
      </c>
      <c r="AC66" t="str">
        <f t="shared" si="23"/>
        <v>No</v>
      </c>
      <c r="AD66" t="str">
        <f t="shared" ca="1" si="24"/>
        <v>No</v>
      </c>
    </row>
    <row r="67" spans="12:30">
      <c r="L67" t="str">
        <f>'Player Board'!B66</f>
        <v>Marvin Harrison Jr.</v>
      </c>
      <c r="M67" t="str">
        <f>'Player Board'!C66</f>
        <v>WR</v>
      </c>
      <c r="N67">
        <f>'Player Board'!H66</f>
        <v>77</v>
      </c>
      <c r="O67">
        <f>'Player Board'!Q66</f>
        <v>20</v>
      </c>
      <c r="P67">
        <f>IF(NOT(AND('Player Board'!J66="No",'Player Board'!K66="No")),-9999,(325-N67*2)+((IF(M67="QB",INDEX('Manager Profiles'!$T$5:$T$12,MATCH($B$5,'Manager Profiles'!$A$5:$A$12,0)),IF(M67="RB",INDEX('Manager Profiles'!$U$5:$U$12,MATCH($B$5,'Manager Profiles'!$A$5:$A$12,0)),IF(M67="WR",INDEX('Manager Profiles'!$V$5:$V$12,MATCH($B$5,'Manager Profiles'!$A$5:$A$12,0)),IF(M67="TE",INDEX('Manager Profiles'!$W$5:$W$12,MATCH($B$5,'Manager Profiles'!$A$5:$A$12,0)),0)))))*3)+(IF($B$6="Contender",IF('Player Board'!R66="Veteran",12,IF('Player Board'!R66="Prime",7,IF('Player Board'!R66="Young",3,-4))),IF($B$6="Rebuilder",IF('Player Board'!R66="Rookie",15,IF('Player Board'!R66="Young",10,IF('Player Board'!R66="Prime",2,-15))),IF('Player Board'!R66="Veteran",-2,IF('Player Board'!R66="Rookie",4,2)))))+MAX(-20,MIN(20,($B$4-IF(O67="",N67,O67))*2))+(IFERROR(IF(INDEX('Player Board'!$F$4:$F$163,MATCH(N67+1,'Player Board'!$H$4:$H$163,0))&gt;'Player Board'!F66,8,0),0)))</f>
        <v>162</v>
      </c>
      <c r="Q67">
        <f t="shared" si="15"/>
        <v>162.01230000000001</v>
      </c>
      <c r="R67">
        <f>IF(AND('Draft Tracker'!D66="Noah",'Draft Tracker'!A66&gt;$B$4),'Draft Tracker'!A66,9999)</f>
        <v>9999</v>
      </c>
      <c r="S67">
        <f>IF(M67="","",IF(M67="QB",INDEX('Manager Profiles'!$T$5:$T$12,MATCH("Noah",'Manager Profiles'!$A$5:$A$12,0)),IF(M67="RB",INDEX('Manager Profiles'!$U$5:$U$12,MATCH("Noah",'Manager Profiles'!$A$5:$A$12,0)),IF(M67="WR",INDEX('Manager Profiles'!$V$5:$V$12,MATCH("Noah",'Manager Profiles'!$A$5:$A$12,0)),IF(M67="TE",INDEX('Manager Profiles'!$W$5:$W$12,MATCH("Noah",'Manager Profiles'!$A$5:$A$12,0)),0)))))</f>
        <v>1</v>
      </c>
      <c r="T67">
        <f>IF(M67="","",IF(M67="QB",INDEX('Manager Profiles'!$T$5:$T$12,MATCH($B$5,'Manager Profiles'!$A$5:$A$12,0)),IF(M67="RB",INDEX('Manager Profiles'!$U$5:$U$12,MATCH($B$5,'Manager Profiles'!$A$5:$A$12,0)),IF(M67="WR",INDEX('Manager Profiles'!$V$5:$V$12,MATCH($B$5,'Manager Profiles'!$A$5:$A$12,0)),IF(M67="TE",INDEX('Manager Profiles'!$W$5:$W$12,MATCH($B$5,'Manager Profiles'!$A$5:$A$12,0)),0)))))</f>
        <v>3</v>
      </c>
      <c r="U67">
        <f t="shared" si="16"/>
        <v>-2</v>
      </c>
      <c r="V67">
        <f t="shared" si="17"/>
        <v>0</v>
      </c>
      <c r="W67">
        <f t="shared" ca="1" si="18"/>
        <v>-9999</v>
      </c>
      <c r="X67">
        <f ca="1">IF(M67="","",IFERROR(_xludf.MINIFS($N$5:$N$164,$M$5:$M$164,M67,$N$5:$N$164,"&gt;"&amp;N67,$P$5:$P$164,"&gt;-9999"),N67+20))</f>
        <v>97</v>
      </c>
      <c r="Y67">
        <f t="shared" ca="1" si="19"/>
        <v>20</v>
      </c>
      <c r="Z67">
        <f t="shared" si="20"/>
        <v>-19</v>
      </c>
      <c r="AA67" t="str">
        <f t="shared" si="21"/>
        <v>No</v>
      </c>
      <c r="AB67" t="str">
        <f t="shared" ca="1" si="22"/>
        <v>Yes</v>
      </c>
      <c r="AC67" t="str">
        <f t="shared" si="23"/>
        <v>No</v>
      </c>
      <c r="AD67" t="str">
        <f t="shared" ca="1" si="24"/>
        <v>No</v>
      </c>
    </row>
    <row r="68" spans="12:30">
      <c r="L68" t="str">
        <f>'Player Board'!B67</f>
        <v>Brian Thomas Jr.</v>
      </c>
      <c r="M68" t="str">
        <f>'Player Board'!C67</f>
        <v>WR</v>
      </c>
      <c r="N68">
        <f>'Player Board'!H67</f>
        <v>58</v>
      </c>
      <c r="O68">
        <f>'Player Board'!Q67</f>
        <v>8</v>
      </c>
      <c r="P68">
        <f>IF(NOT(AND('Player Board'!J67="No",'Player Board'!K67="No")),-9999,(325-N68*2)+((IF(M68="QB",INDEX('Manager Profiles'!$T$5:$T$12,MATCH($B$5,'Manager Profiles'!$A$5:$A$12,0)),IF(M68="RB",INDEX('Manager Profiles'!$U$5:$U$12,MATCH($B$5,'Manager Profiles'!$A$5:$A$12,0)),IF(M68="WR",INDEX('Manager Profiles'!$V$5:$V$12,MATCH($B$5,'Manager Profiles'!$A$5:$A$12,0)),IF(M68="TE",INDEX('Manager Profiles'!$W$5:$W$12,MATCH($B$5,'Manager Profiles'!$A$5:$A$12,0)),0)))))*3)+(IF($B$6="Contender",IF('Player Board'!R67="Veteran",12,IF('Player Board'!R67="Prime",7,IF('Player Board'!R67="Young",3,-4))),IF($B$6="Rebuilder",IF('Player Board'!R67="Rookie",15,IF('Player Board'!R67="Young",10,IF('Player Board'!R67="Prime",2,-15))),IF('Player Board'!R67="Veteran",-2,IF('Player Board'!R67="Rookie",4,2)))))+MAX(-20,MIN(20,($B$4-IF(O68="",N68,O68))*2))+(IFERROR(IF(INDEX('Player Board'!$F$4:$F$163,MATCH(N68+1,'Player Board'!$H$4:$H$163,0))&gt;'Player Board'!F67,8,0),0)))</f>
        <v>206</v>
      </c>
      <c r="Q68">
        <f t="shared" si="15"/>
        <v>206.01419999999999</v>
      </c>
      <c r="R68">
        <f>IF(AND('Draft Tracker'!D67="Noah",'Draft Tracker'!A67&gt;$B$4),'Draft Tracker'!A67,9999)</f>
        <v>9999</v>
      </c>
      <c r="S68">
        <f>IF(M68="","",IF(M68="QB",INDEX('Manager Profiles'!$T$5:$T$12,MATCH("Noah",'Manager Profiles'!$A$5:$A$12,0)),IF(M68="RB",INDEX('Manager Profiles'!$U$5:$U$12,MATCH("Noah",'Manager Profiles'!$A$5:$A$12,0)),IF(M68="WR",INDEX('Manager Profiles'!$V$5:$V$12,MATCH("Noah",'Manager Profiles'!$A$5:$A$12,0)),IF(M68="TE",INDEX('Manager Profiles'!$W$5:$W$12,MATCH("Noah",'Manager Profiles'!$A$5:$A$12,0)),0)))))</f>
        <v>1</v>
      </c>
      <c r="T68">
        <f>IF(M68="","",IF(M68="QB",INDEX('Manager Profiles'!$T$5:$T$12,MATCH($B$5,'Manager Profiles'!$A$5:$A$12,0)),IF(M68="RB",INDEX('Manager Profiles'!$U$5:$U$12,MATCH($B$5,'Manager Profiles'!$A$5:$A$12,0)),IF(M68="WR",INDEX('Manager Profiles'!$V$5:$V$12,MATCH($B$5,'Manager Profiles'!$A$5:$A$12,0)),IF(M68="TE",INDEX('Manager Profiles'!$W$5:$W$12,MATCH($B$5,'Manager Profiles'!$A$5:$A$12,0)),0)))))</f>
        <v>3</v>
      </c>
      <c r="U68">
        <f t="shared" si="16"/>
        <v>-2</v>
      </c>
      <c r="V68">
        <f t="shared" si="17"/>
        <v>5</v>
      </c>
      <c r="W68">
        <f t="shared" ca="1" si="18"/>
        <v>-9999</v>
      </c>
      <c r="X68">
        <f ca="1">IF(M68="","",IFERROR(_xludf.MINIFS($N$5:$N$164,$M$5:$M$164,M68,$N$5:$N$164,"&gt;"&amp;N68,$P$5:$P$164,"&gt;-9999"),N68+20))</f>
        <v>78</v>
      </c>
      <c r="Y68">
        <f t="shared" ca="1" si="19"/>
        <v>20</v>
      </c>
      <c r="Z68">
        <f t="shared" si="20"/>
        <v>-7</v>
      </c>
      <c r="AA68" t="str">
        <f t="shared" si="21"/>
        <v>No</v>
      </c>
      <c r="AB68" t="str">
        <f t="shared" ca="1" si="22"/>
        <v>Yes</v>
      </c>
      <c r="AC68" t="str">
        <f t="shared" si="23"/>
        <v>No</v>
      </c>
      <c r="AD68" t="str">
        <f t="shared" ca="1" si="24"/>
        <v>No</v>
      </c>
    </row>
    <row r="69" spans="12:30">
      <c r="L69" t="str">
        <f>'Player Board'!B68</f>
        <v>Rashee Rice</v>
      </c>
      <c r="M69" t="str">
        <f>'Player Board'!C68</f>
        <v>WR</v>
      </c>
      <c r="N69">
        <f>'Player Board'!H68</f>
        <v>48</v>
      </c>
      <c r="O69" t="str">
        <f>'Player Board'!Q68</f>
        <v/>
      </c>
      <c r="P69">
        <f>IF(NOT(AND('Player Board'!J68="No",'Player Board'!K68="No")),-9999,(325-N69*2)+((IF(M69="QB",INDEX('Manager Profiles'!$T$5:$T$12,MATCH($B$5,'Manager Profiles'!$A$5:$A$12,0)),IF(M69="RB",INDEX('Manager Profiles'!$U$5:$U$12,MATCH($B$5,'Manager Profiles'!$A$5:$A$12,0)),IF(M69="WR",INDEX('Manager Profiles'!$V$5:$V$12,MATCH($B$5,'Manager Profiles'!$A$5:$A$12,0)),IF(M69="TE",INDEX('Manager Profiles'!$W$5:$W$12,MATCH($B$5,'Manager Profiles'!$A$5:$A$12,0)),0)))))*3)+(IF($B$6="Contender",IF('Player Board'!R68="Veteran",12,IF('Player Board'!R68="Prime",7,IF('Player Board'!R68="Young",3,-4))),IF($B$6="Rebuilder",IF('Player Board'!R68="Rookie",15,IF('Player Board'!R68="Young",10,IF('Player Board'!R68="Prime",2,-15))),IF('Player Board'!R68="Veteran",-2,IF('Player Board'!R68="Rookie",4,2)))))+MAX(-20,MIN(20,($B$4-IF(O69="",N69,O69))*2))+(IFERROR(IF(INDEX('Player Board'!$F$4:$F$163,MATCH(N69+1,'Player Board'!$H$4:$H$163,0))&gt;'Player Board'!F68,8,0),0)))</f>
        <v>-9999</v>
      </c>
      <c r="Q69">
        <f t="shared" ref="Q69:Q100" si="25">P69+(200-N69)/10000</f>
        <v>-9998.9848000000002</v>
      </c>
      <c r="R69">
        <f>IF(AND('Draft Tracker'!D68="Noah",'Draft Tracker'!A68&gt;$B$4),'Draft Tracker'!A68,9999)</f>
        <v>9999</v>
      </c>
      <c r="S69">
        <f>IF(M69="","",IF(M69="QB",INDEX('Manager Profiles'!$T$5:$T$12,MATCH("Noah",'Manager Profiles'!$A$5:$A$12,0)),IF(M69="RB",INDEX('Manager Profiles'!$U$5:$U$12,MATCH("Noah",'Manager Profiles'!$A$5:$A$12,0)),IF(M69="WR",INDEX('Manager Profiles'!$V$5:$V$12,MATCH("Noah",'Manager Profiles'!$A$5:$A$12,0)),IF(M69="TE",INDEX('Manager Profiles'!$W$5:$W$12,MATCH("Noah",'Manager Profiles'!$A$5:$A$12,0)),0)))))</f>
        <v>1</v>
      </c>
      <c r="T69">
        <f>IF(M69="","",IF(M69="QB",INDEX('Manager Profiles'!$T$5:$T$12,MATCH($B$5,'Manager Profiles'!$A$5:$A$12,0)),IF(M69="RB",INDEX('Manager Profiles'!$U$5:$U$12,MATCH($B$5,'Manager Profiles'!$A$5:$A$12,0)),IF(M69="WR",INDEX('Manager Profiles'!$V$5:$V$12,MATCH($B$5,'Manager Profiles'!$A$5:$A$12,0)),IF(M69="TE",INDEX('Manager Profiles'!$W$5:$W$12,MATCH($B$5,'Manager Profiles'!$A$5:$A$12,0)),0)))))</f>
        <v>3</v>
      </c>
      <c r="U69">
        <f t="shared" ref="U69:U100" si="26">IF(S69="","",S69-T69)</f>
        <v>-2</v>
      </c>
      <c r="V69" t="str">
        <f t="shared" ref="V69:V100" si="27">IF(O69="","",MAX(0,$B$8-O69))</f>
        <v/>
      </c>
      <c r="W69">
        <f t="shared" ref="W69:W100" ca="1" si="28">IF(OR(L69="",P69=-9999,AD69&lt;&gt;"Yes"),-9999,ROUND(S69*6+MAX(0,U69)*7+V69*7+MIN(20,Y69)*5+MAX(0,Z69)*10+MAX(0,50-N69)/4,1))</f>
        <v>-9999</v>
      </c>
      <c r="X69">
        <f ca="1">IF(M69="","",IFERROR(_xludf.MINIFS($N$5:$N$164,$M$5:$M$164,M69,$N$5:$N$164,"&gt;"&amp;N69,$P$5:$P$164,"&gt;-9999"),N69+20))</f>
        <v>68</v>
      </c>
      <c r="Y69">
        <f t="shared" ref="Y69:Y100" ca="1" si="29">IF(X69="","",MAX(0,X69-N69))</f>
        <v>20</v>
      </c>
      <c r="Z69" t="str">
        <f t="shared" ref="Z69:Z100" si="30">IF(O69="","",$B$4-O69)</f>
        <v/>
      </c>
      <c r="AA69" t="str">
        <f t="shared" ref="AA69:AA100" si="31">IF(AND(V69&gt;0,Z69&gt;=0,S69&gt;=4,$B$5&lt;&gt;"Noah"),"Yes","No")</f>
        <v>No</v>
      </c>
      <c r="AB69" t="str">
        <f t="shared" ref="AB69:AB100" ca="1" si="32">IF(Y69&gt;=12,"Yes","No")</f>
        <v>Yes</v>
      </c>
      <c r="AC69" t="str">
        <f t="shared" ref="AC69:AC100" si="33">IF(Z69&gt;=3,"Yes","No")</f>
        <v>Yes</v>
      </c>
      <c r="AD69" t="str">
        <f t="shared" ref="AD69:AD100" ca="1" si="34">IF(AND(V69&gt;=3,S69&gt;=5,U69&gt;=3,Y69&gt;=12,Z69&gt;=3,$B$5&lt;&gt;"Noah"),"Yes","No")</f>
        <v>No</v>
      </c>
    </row>
    <row r="70" spans="12:30">
      <c r="L70" t="str">
        <f>'Player Board'!B69</f>
        <v>Jaylen Waddle</v>
      </c>
      <c r="M70" t="str">
        <f>'Player Board'!C69</f>
        <v>WR</v>
      </c>
      <c r="N70">
        <f>'Player Board'!H69</f>
        <v>67</v>
      </c>
      <c r="O70" t="str">
        <f>'Player Board'!Q69</f>
        <v/>
      </c>
      <c r="P70">
        <f>IF(NOT(AND('Player Board'!J69="No",'Player Board'!K69="No")),-9999,(325-N70*2)+((IF(M70="QB",INDEX('Manager Profiles'!$T$5:$T$12,MATCH($B$5,'Manager Profiles'!$A$5:$A$12,0)),IF(M70="RB",INDEX('Manager Profiles'!$U$5:$U$12,MATCH($B$5,'Manager Profiles'!$A$5:$A$12,0)),IF(M70="WR",INDEX('Manager Profiles'!$V$5:$V$12,MATCH($B$5,'Manager Profiles'!$A$5:$A$12,0)),IF(M70="TE",INDEX('Manager Profiles'!$W$5:$W$12,MATCH($B$5,'Manager Profiles'!$A$5:$A$12,0)),0)))))*3)+(IF($B$6="Contender",IF('Player Board'!R69="Veteran",12,IF('Player Board'!R69="Prime",7,IF('Player Board'!R69="Young",3,-4))),IF($B$6="Rebuilder",IF('Player Board'!R69="Rookie",15,IF('Player Board'!R69="Young",10,IF('Player Board'!R69="Prime",2,-15))),IF('Player Board'!R69="Veteran",-2,IF('Player Board'!R69="Rookie",4,2)))))+MAX(-20,MIN(20,($B$4-IF(O70="",N70,O70))*2))+(IFERROR(IF(INDEX('Player Board'!$F$4:$F$163,MATCH(N70+1,'Player Board'!$H$4:$H$163,0))&gt;'Player Board'!F69,8,0),0)))</f>
        <v>-9999</v>
      </c>
      <c r="Q70">
        <f t="shared" si="25"/>
        <v>-9998.9866999999995</v>
      </c>
      <c r="R70">
        <f>IF(AND('Draft Tracker'!D69="Noah",'Draft Tracker'!A69&gt;$B$4),'Draft Tracker'!A69,9999)</f>
        <v>9999</v>
      </c>
      <c r="S70">
        <f>IF(M70="","",IF(M70="QB",INDEX('Manager Profiles'!$T$5:$T$12,MATCH("Noah",'Manager Profiles'!$A$5:$A$12,0)),IF(M70="RB",INDEX('Manager Profiles'!$U$5:$U$12,MATCH("Noah",'Manager Profiles'!$A$5:$A$12,0)),IF(M70="WR",INDEX('Manager Profiles'!$V$5:$V$12,MATCH("Noah",'Manager Profiles'!$A$5:$A$12,0)),IF(M70="TE",INDEX('Manager Profiles'!$W$5:$W$12,MATCH("Noah",'Manager Profiles'!$A$5:$A$12,0)),0)))))</f>
        <v>1</v>
      </c>
      <c r="T70">
        <f>IF(M70="","",IF(M70="QB",INDEX('Manager Profiles'!$T$5:$T$12,MATCH($B$5,'Manager Profiles'!$A$5:$A$12,0)),IF(M70="RB",INDEX('Manager Profiles'!$U$5:$U$12,MATCH($B$5,'Manager Profiles'!$A$5:$A$12,0)),IF(M70="WR",INDEX('Manager Profiles'!$V$5:$V$12,MATCH($B$5,'Manager Profiles'!$A$5:$A$12,0)),IF(M70="TE",INDEX('Manager Profiles'!$W$5:$W$12,MATCH($B$5,'Manager Profiles'!$A$5:$A$12,0)),0)))))</f>
        <v>3</v>
      </c>
      <c r="U70">
        <f t="shared" si="26"/>
        <v>-2</v>
      </c>
      <c r="V70" t="str">
        <f t="shared" si="27"/>
        <v/>
      </c>
      <c r="W70">
        <f t="shared" ca="1" si="28"/>
        <v>-9999</v>
      </c>
      <c r="X70">
        <f ca="1">IF(M70="","",IFERROR(_xludf.MINIFS($N$5:$N$164,$M$5:$M$164,M70,$N$5:$N$164,"&gt;"&amp;N70,$P$5:$P$164,"&gt;-9999"),N70+20))</f>
        <v>87</v>
      </c>
      <c r="Y70">
        <f t="shared" ca="1" si="29"/>
        <v>20</v>
      </c>
      <c r="Z70" t="str">
        <f t="shared" si="30"/>
        <v/>
      </c>
      <c r="AA70" t="str">
        <f t="shared" si="31"/>
        <v>No</v>
      </c>
      <c r="AB70" t="str">
        <f t="shared" ca="1" si="32"/>
        <v>Yes</v>
      </c>
      <c r="AC70" t="str">
        <f t="shared" si="33"/>
        <v>Yes</v>
      </c>
      <c r="AD70" t="str">
        <f t="shared" ca="1" si="34"/>
        <v>No</v>
      </c>
    </row>
    <row r="71" spans="12:30">
      <c r="L71" t="str">
        <f>'Player Board'!B70</f>
        <v>Tyler Shough</v>
      </c>
      <c r="M71" t="str">
        <f>'Player Board'!C70</f>
        <v>QB</v>
      </c>
      <c r="N71">
        <f>'Player Board'!H70</f>
        <v>81</v>
      </c>
      <c r="O71" t="str">
        <f>'Player Board'!Q70</f>
        <v/>
      </c>
      <c r="P71">
        <f>IF(NOT(AND('Player Board'!J70="No",'Player Board'!K70="No")),-9999,(325-N71*2)+((IF(M71="QB",INDEX('Manager Profiles'!$T$5:$T$12,MATCH($B$5,'Manager Profiles'!$A$5:$A$12,0)),IF(M71="RB",INDEX('Manager Profiles'!$U$5:$U$12,MATCH($B$5,'Manager Profiles'!$A$5:$A$12,0)),IF(M71="WR",INDEX('Manager Profiles'!$V$5:$V$12,MATCH($B$5,'Manager Profiles'!$A$5:$A$12,0)),IF(M71="TE",INDEX('Manager Profiles'!$W$5:$W$12,MATCH($B$5,'Manager Profiles'!$A$5:$A$12,0)),0)))))*3)+(IF($B$6="Contender",IF('Player Board'!R70="Veteran",12,IF('Player Board'!R70="Prime",7,IF('Player Board'!R70="Young",3,-4))),IF($B$6="Rebuilder",IF('Player Board'!R70="Rookie",15,IF('Player Board'!R70="Young",10,IF('Player Board'!R70="Prime",2,-15))),IF('Player Board'!R70="Veteran",-2,IF('Player Board'!R70="Rookie",4,2)))))+MAX(-20,MIN(20,($B$4-IF(O71="",N71,O71))*2))+(IFERROR(IF(INDEX('Player Board'!$F$4:$F$163,MATCH(N71+1,'Player Board'!$H$4:$H$163,0))&gt;'Player Board'!F70,8,0),0)))</f>
        <v>-9999</v>
      </c>
      <c r="Q71">
        <f t="shared" si="25"/>
        <v>-9998.9881000000005</v>
      </c>
      <c r="R71">
        <f>IF(AND('Draft Tracker'!D70="Noah",'Draft Tracker'!A70&gt;$B$4),'Draft Tracker'!A70,9999)</f>
        <v>9999</v>
      </c>
      <c r="S71">
        <f>IF(M71="","",IF(M71="QB",INDEX('Manager Profiles'!$T$5:$T$12,MATCH("Noah",'Manager Profiles'!$A$5:$A$12,0)),IF(M71="RB",INDEX('Manager Profiles'!$U$5:$U$12,MATCH("Noah",'Manager Profiles'!$A$5:$A$12,0)),IF(M71="WR",INDEX('Manager Profiles'!$V$5:$V$12,MATCH("Noah",'Manager Profiles'!$A$5:$A$12,0)),IF(M71="TE",INDEX('Manager Profiles'!$W$5:$W$12,MATCH("Noah",'Manager Profiles'!$A$5:$A$12,0)),0)))))</f>
        <v>9</v>
      </c>
      <c r="T71">
        <f>IF(M71="","",IF(M71="QB",INDEX('Manager Profiles'!$T$5:$T$12,MATCH($B$5,'Manager Profiles'!$A$5:$A$12,0)),IF(M71="RB",INDEX('Manager Profiles'!$U$5:$U$12,MATCH($B$5,'Manager Profiles'!$A$5:$A$12,0)),IF(M71="WR",INDEX('Manager Profiles'!$V$5:$V$12,MATCH($B$5,'Manager Profiles'!$A$5:$A$12,0)),IF(M71="TE",INDEX('Manager Profiles'!$W$5:$W$12,MATCH($B$5,'Manager Profiles'!$A$5:$A$12,0)),0)))))</f>
        <v>2</v>
      </c>
      <c r="U71">
        <f t="shared" si="26"/>
        <v>7</v>
      </c>
      <c r="V71" t="str">
        <f t="shared" si="27"/>
        <v/>
      </c>
      <c r="W71">
        <f t="shared" ca="1" si="28"/>
        <v>-9999</v>
      </c>
      <c r="X71">
        <f ca="1">IF(M71="","",IFERROR(_xludf.MINIFS($N$5:$N$164,$M$5:$M$164,M71,$N$5:$N$164,"&gt;"&amp;N71,$P$5:$P$164,"&gt;-9999"),N71+20))</f>
        <v>101</v>
      </c>
      <c r="Y71">
        <f t="shared" ca="1" si="29"/>
        <v>20</v>
      </c>
      <c r="Z71" t="str">
        <f t="shared" si="30"/>
        <v/>
      </c>
      <c r="AA71" t="str">
        <f t="shared" si="31"/>
        <v>Yes</v>
      </c>
      <c r="AB71" t="str">
        <f t="shared" ca="1" si="32"/>
        <v>Yes</v>
      </c>
      <c r="AC71" t="str">
        <f t="shared" si="33"/>
        <v>Yes</v>
      </c>
      <c r="AD71" t="str">
        <f t="shared" ca="1" si="34"/>
        <v>Yes</v>
      </c>
    </row>
    <row r="72" spans="12:30">
      <c r="L72" t="str">
        <f>'Player Board'!B71</f>
        <v>Jadarian Price</v>
      </c>
      <c r="M72" t="str">
        <f>'Player Board'!C71</f>
        <v>RB</v>
      </c>
      <c r="N72">
        <f>'Player Board'!H71</f>
        <v>79</v>
      </c>
      <c r="O72">
        <f>'Player Board'!Q71</f>
        <v>22</v>
      </c>
      <c r="P72">
        <f>IF(NOT(AND('Player Board'!J71="No",'Player Board'!K71="No")),-9999,(325-N72*2)+((IF(M72="QB",INDEX('Manager Profiles'!$T$5:$T$12,MATCH($B$5,'Manager Profiles'!$A$5:$A$12,0)),IF(M72="RB",INDEX('Manager Profiles'!$U$5:$U$12,MATCH($B$5,'Manager Profiles'!$A$5:$A$12,0)),IF(M72="WR",INDEX('Manager Profiles'!$V$5:$V$12,MATCH($B$5,'Manager Profiles'!$A$5:$A$12,0)),IF(M72="TE",INDEX('Manager Profiles'!$W$5:$W$12,MATCH($B$5,'Manager Profiles'!$A$5:$A$12,0)),0)))))*3)+(IF($B$6="Contender",IF('Player Board'!R71="Veteran",12,IF('Player Board'!R71="Prime",7,IF('Player Board'!R71="Young",3,-4))),IF($B$6="Rebuilder",IF('Player Board'!R71="Rookie",15,IF('Player Board'!R71="Young",10,IF('Player Board'!R71="Prime",2,-15))),IF('Player Board'!R71="Veteran",-2,IF('Player Board'!R71="Rookie",4,2)))))+MAX(-20,MIN(20,($B$4-IF(O72="",N72,O72))*2))+(IFERROR(IF(INDEX('Player Board'!$F$4:$F$163,MATCH(N72+1,'Player Board'!$H$4:$H$163,0))&gt;'Player Board'!F71,8,0),0)))</f>
        <v>178</v>
      </c>
      <c r="Q72">
        <f t="shared" si="25"/>
        <v>178.0121</v>
      </c>
      <c r="R72">
        <f>IF(AND('Draft Tracker'!D71="Noah",'Draft Tracker'!A71&gt;$B$4),'Draft Tracker'!A71,9999)</f>
        <v>9999</v>
      </c>
      <c r="S72">
        <f>IF(M72="","",IF(M72="QB",INDEX('Manager Profiles'!$T$5:$T$12,MATCH("Noah",'Manager Profiles'!$A$5:$A$12,0)),IF(M72="RB",INDEX('Manager Profiles'!$U$5:$U$12,MATCH("Noah",'Manager Profiles'!$A$5:$A$12,0)),IF(M72="WR",INDEX('Manager Profiles'!$V$5:$V$12,MATCH("Noah",'Manager Profiles'!$A$5:$A$12,0)),IF(M72="TE",INDEX('Manager Profiles'!$W$5:$W$12,MATCH("Noah",'Manager Profiles'!$A$5:$A$12,0)),0)))))</f>
        <v>4</v>
      </c>
      <c r="T72">
        <f>IF(M72="","",IF(M72="QB",INDEX('Manager Profiles'!$T$5:$T$12,MATCH($B$5,'Manager Profiles'!$A$5:$A$12,0)),IF(M72="RB",INDEX('Manager Profiles'!$U$5:$U$12,MATCH($B$5,'Manager Profiles'!$A$5:$A$12,0)),IF(M72="WR",INDEX('Manager Profiles'!$V$5:$V$12,MATCH($B$5,'Manager Profiles'!$A$5:$A$12,0)),IF(M72="TE",INDEX('Manager Profiles'!$W$5:$W$12,MATCH($B$5,'Manager Profiles'!$A$5:$A$12,0)),0)))))</f>
        <v>9</v>
      </c>
      <c r="U72">
        <f t="shared" si="26"/>
        <v>-5</v>
      </c>
      <c r="V72">
        <f t="shared" si="27"/>
        <v>0</v>
      </c>
      <c r="W72">
        <f t="shared" ca="1" si="28"/>
        <v>-9999</v>
      </c>
      <c r="X72">
        <f ca="1">IF(M72="","",IFERROR(_xludf.MINIFS($N$5:$N$164,$M$5:$M$164,M72,$N$5:$N$164,"&gt;"&amp;N72,$P$5:$P$164,"&gt;-9999"),N72+20))</f>
        <v>99</v>
      </c>
      <c r="Y72">
        <f t="shared" ca="1" si="29"/>
        <v>20</v>
      </c>
      <c r="Z72">
        <f t="shared" si="30"/>
        <v>-21</v>
      </c>
      <c r="AA72" t="str">
        <f t="shared" si="31"/>
        <v>No</v>
      </c>
      <c r="AB72" t="str">
        <f t="shared" ca="1" si="32"/>
        <v>Yes</v>
      </c>
      <c r="AC72" t="str">
        <f t="shared" si="33"/>
        <v>No</v>
      </c>
      <c r="AD72" t="str">
        <f t="shared" ca="1" si="34"/>
        <v>No</v>
      </c>
    </row>
    <row r="73" spans="12:30">
      <c r="L73" t="str">
        <f>'Player Board'!B72</f>
        <v>Harold Fannin Jr.</v>
      </c>
      <c r="M73" t="str">
        <f>'Player Board'!C72</f>
        <v>TE</v>
      </c>
      <c r="N73">
        <f>'Player Board'!H72</f>
        <v>71</v>
      </c>
      <c r="O73">
        <f>'Player Board'!Q72</f>
        <v>14</v>
      </c>
      <c r="P73">
        <f>IF(NOT(AND('Player Board'!J72="No",'Player Board'!K72="No")),-9999,(325-N73*2)+((IF(M73="QB",INDEX('Manager Profiles'!$T$5:$T$12,MATCH($B$5,'Manager Profiles'!$A$5:$A$12,0)),IF(M73="RB",INDEX('Manager Profiles'!$U$5:$U$12,MATCH($B$5,'Manager Profiles'!$A$5:$A$12,0)),IF(M73="WR",INDEX('Manager Profiles'!$V$5:$V$12,MATCH($B$5,'Manager Profiles'!$A$5:$A$12,0)),IF(M73="TE",INDEX('Manager Profiles'!$W$5:$W$12,MATCH($B$5,'Manager Profiles'!$A$5:$A$12,0)),0)))))*3)+(IF($B$6="Contender",IF('Player Board'!R72="Veteran",12,IF('Player Board'!R72="Prime",7,IF('Player Board'!R72="Young",3,-4))),IF($B$6="Rebuilder",IF('Player Board'!R72="Rookie",15,IF('Player Board'!R72="Young",10,IF('Player Board'!R72="Prime",2,-15))),IF('Player Board'!R72="Veteran",-2,IF('Player Board'!R72="Rookie",4,2)))))+MAX(-20,MIN(20,($B$4-IF(O73="",N73,O73))*2))+(IFERROR(IF(INDEX('Player Board'!$F$4:$F$163,MATCH(N73+1,'Player Board'!$H$4:$H$163,0))&gt;'Player Board'!F72,8,0),0)))</f>
        <v>174</v>
      </c>
      <c r="Q73">
        <f t="shared" si="25"/>
        <v>174.0129</v>
      </c>
      <c r="R73">
        <f>IF(AND('Draft Tracker'!D72="Noah",'Draft Tracker'!A72&gt;$B$4),'Draft Tracker'!A72,9999)</f>
        <v>69</v>
      </c>
      <c r="S73">
        <f>IF(M73="","",IF(M73="QB",INDEX('Manager Profiles'!$T$5:$T$12,MATCH("Noah",'Manager Profiles'!$A$5:$A$12,0)),IF(M73="RB",INDEX('Manager Profiles'!$U$5:$U$12,MATCH("Noah",'Manager Profiles'!$A$5:$A$12,0)),IF(M73="WR",INDEX('Manager Profiles'!$V$5:$V$12,MATCH("Noah",'Manager Profiles'!$A$5:$A$12,0)),IF(M73="TE",INDEX('Manager Profiles'!$W$5:$W$12,MATCH("Noah",'Manager Profiles'!$A$5:$A$12,0)),0)))))</f>
        <v>7</v>
      </c>
      <c r="T73">
        <f>IF(M73="","",IF(M73="QB",INDEX('Manager Profiles'!$T$5:$T$12,MATCH($B$5,'Manager Profiles'!$A$5:$A$12,0)),IF(M73="RB",INDEX('Manager Profiles'!$U$5:$U$12,MATCH($B$5,'Manager Profiles'!$A$5:$A$12,0)),IF(M73="WR",INDEX('Manager Profiles'!$V$5:$V$12,MATCH($B$5,'Manager Profiles'!$A$5:$A$12,0)),IF(M73="TE",INDEX('Manager Profiles'!$W$5:$W$12,MATCH($B$5,'Manager Profiles'!$A$5:$A$12,0)),0)))))</f>
        <v>3</v>
      </c>
      <c r="U73">
        <f t="shared" si="26"/>
        <v>4</v>
      </c>
      <c r="V73">
        <f t="shared" si="27"/>
        <v>0</v>
      </c>
      <c r="W73">
        <f t="shared" ca="1" si="28"/>
        <v>-9999</v>
      </c>
      <c r="X73">
        <f ca="1">IF(M73="","",IFERROR(_xludf.MINIFS($N$5:$N$164,$M$5:$M$164,M73,$N$5:$N$164,"&gt;"&amp;N73,$P$5:$P$164,"&gt;-9999"),N73+20))</f>
        <v>91</v>
      </c>
      <c r="Y73">
        <f t="shared" ca="1" si="29"/>
        <v>20</v>
      </c>
      <c r="Z73">
        <f t="shared" si="30"/>
        <v>-13</v>
      </c>
      <c r="AA73" t="str">
        <f t="shared" si="31"/>
        <v>No</v>
      </c>
      <c r="AB73" t="str">
        <f t="shared" ca="1" si="32"/>
        <v>Yes</v>
      </c>
      <c r="AC73" t="str">
        <f t="shared" si="33"/>
        <v>No</v>
      </c>
      <c r="AD73" t="str">
        <f t="shared" ca="1" si="34"/>
        <v>No</v>
      </c>
    </row>
    <row r="74" spans="12:30">
      <c r="L74" t="str">
        <f>'Player Board'!B73</f>
        <v>Cam Skattebo</v>
      </c>
      <c r="M74" t="str">
        <f>'Player Board'!C73</f>
        <v>RB</v>
      </c>
      <c r="N74">
        <f>'Player Board'!H73</f>
        <v>80</v>
      </c>
      <c r="O74" t="str">
        <f>'Player Board'!Q73</f>
        <v/>
      </c>
      <c r="P74">
        <f>IF(NOT(AND('Player Board'!J73="No",'Player Board'!K73="No")),-9999,(325-N74*2)+((IF(M74="QB",INDEX('Manager Profiles'!$T$5:$T$12,MATCH($B$5,'Manager Profiles'!$A$5:$A$12,0)),IF(M74="RB",INDEX('Manager Profiles'!$U$5:$U$12,MATCH($B$5,'Manager Profiles'!$A$5:$A$12,0)),IF(M74="WR",INDEX('Manager Profiles'!$V$5:$V$12,MATCH($B$5,'Manager Profiles'!$A$5:$A$12,0)),IF(M74="TE",INDEX('Manager Profiles'!$W$5:$W$12,MATCH($B$5,'Manager Profiles'!$A$5:$A$12,0)),0)))))*3)+(IF($B$6="Contender",IF('Player Board'!R73="Veteran",12,IF('Player Board'!R73="Prime",7,IF('Player Board'!R73="Young",3,-4))),IF($B$6="Rebuilder",IF('Player Board'!R73="Rookie",15,IF('Player Board'!R73="Young",10,IF('Player Board'!R73="Prime",2,-15))),IF('Player Board'!R73="Veteran",-2,IF('Player Board'!R73="Rookie",4,2)))))+MAX(-20,MIN(20,($B$4-IF(O74="",N74,O74))*2))+(IFERROR(IF(INDEX('Player Board'!$F$4:$F$163,MATCH(N74+1,'Player Board'!$H$4:$H$163,0))&gt;'Player Board'!F73,8,0),0)))</f>
        <v>-9999</v>
      </c>
      <c r="Q74">
        <f t="shared" si="25"/>
        <v>-9998.9879999999994</v>
      </c>
      <c r="R74">
        <f>IF(AND('Draft Tracker'!D73="Noah",'Draft Tracker'!A73&gt;$B$4),'Draft Tracker'!A73,9999)</f>
        <v>9999</v>
      </c>
      <c r="S74">
        <f>IF(M74="","",IF(M74="QB",INDEX('Manager Profiles'!$T$5:$T$12,MATCH("Noah",'Manager Profiles'!$A$5:$A$12,0)),IF(M74="RB",INDEX('Manager Profiles'!$U$5:$U$12,MATCH("Noah",'Manager Profiles'!$A$5:$A$12,0)),IF(M74="WR",INDEX('Manager Profiles'!$V$5:$V$12,MATCH("Noah",'Manager Profiles'!$A$5:$A$12,0)),IF(M74="TE",INDEX('Manager Profiles'!$W$5:$W$12,MATCH("Noah",'Manager Profiles'!$A$5:$A$12,0)),0)))))</f>
        <v>4</v>
      </c>
      <c r="T74">
        <f>IF(M74="","",IF(M74="QB",INDEX('Manager Profiles'!$T$5:$T$12,MATCH($B$5,'Manager Profiles'!$A$5:$A$12,0)),IF(M74="RB",INDEX('Manager Profiles'!$U$5:$U$12,MATCH($B$5,'Manager Profiles'!$A$5:$A$12,0)),IF(M74="WR",INDEX('Manager Profiles'!$V$5:$V$12,MATCH($B$5,'Manager Profiles'!$A$5:$A$12,0)),IF(M74="TE",INDEX('Manager Profiles'!$W$5:$W$12,MATCH($B$5,'Manager Profiles'!$A$5:$A$12,0)),0)))))</f>
        <v>9</v>
      </c>
      <c r="U74">
        <f t="shared" si="26"/>
        <v>-5</v>
      </c>
      <c r="V74" t="str">
        <f t="shared" si="27"/>
        <v/>
      </c>
      <c r="W74">
        <f t="shared" ca="1" si="28"/>
        <v>-9999</v>
      </c>
      <c r="X74">
        <f ca="1">IF(M74="","",IFERROR(_xludf.MINIFS($N$5:$N$164,$M$5:$M$164,M74,$N$5:$N$164,"&gt;"&amp;N74,$P$5:$P$164,"&gt;-9999"),N74+20))</f>
        <v>100</v>
      </c>
      <c r="Y74">
        <f t="shared" ca="1" si="29"/>
        <v>20</v>
      </c>
      <c r="Z74" t="str">
        <f t="shared" si="30"/>
        <v/>
      </c>
      <c r="AA74" t="str">
        <f t="shared" si="31"/>
        <v>Yes</v>
      </c>
      <c r="AB74" t="str">
        <f t="shared" ca="1" si="32"/>
        <v>Yes</v>
      </c>
      <c r="AC74" t="str">
        <f t="shared" si="33"/>
        <v>Yes</v>
      </c>
      <c r="AD74" t="str">
        <f t="shared" ca="1" si="34"/>
        <v>No</v>
      </c>
    </row>
    <row r="75" spans="12:30">
      <c r="L75" t="str">
        <f>'Player Board'!B74</f>
        <v>C.J. Stroud</v>
      </c>
      <c r="M75" t="str">
        <f>'Player Board'!C74</f>
        <v>QB</v>
      </c>
      <c r="N75">
        <f>'Player Board'!H74</f>
        <v>83</v>
      </c>
      <c r="O75">
        <f>'Player Board'!Q74</f>
        <v>24</v>
      </c>
      <c r="P75">
        <f>IF(NOT(AND('Player Board'!J74="No",'Player Board'!K74="No")),-9999,(325-N75*2)+((IF(M75="QB",INDEX('Manager Profiles'!$T$5:$T$12,MATCH($B$5,'Manager Profiles'!$A$5:$A$12,0)),IF(M75="RB",INDEX('Manager Profiles'!$U$5:$U$12,MATCH($B$5,'Manager Profiles'!$A$5:$A$12,0)),IF(M75="WR",INDEX('Manager Profiles'!$V$5:$V$12,MATCH($B$5,'Manager Profiles'!$A$5:$A$12,0)),IF(M75="TE",INDEX('Manager Profiles'!$W$5:$W$12,MATCH($B$5,'Manager Profiles'!$A$5:$A$12,0)),0)))))*3)+(IF($B$6="Contender",IF('Player Board'!R74="Veteran",12,IF('Player Board'!R74="Prime",7,IF('Player Board'!R74="Young",3,-4))),IF($B$6="Rebuilder",IF('Player Board'!R74="Rookie",15,IF('Player Board'!R74="Young",10,IF('Player Board'!R74="Prime",2,-15))),IF('Player Board'!R74="Veteran",-2,IF('Player Board'!R74="Rookie",4,2)))))+MAX(-20,MIN(20,($B$4-IF(O75="",N75,O75))*2))+(IFERROR(IF(INDEX('Player Board'!$F$4:$F$163,MATCH(N75+1,'Player Board'!$H$4:$H$163,0))&gt;'Player Board'!F74,8,0),0)))</f>
        <v>147</v>
      </c>
      <c r="Q75">
        <f t="shared" si="25"/>
        <v>147.01169999999999</v>
      </c>
      <c r="R75">
        <f>IF(AND('Draft Tracker'!D74="Noah",'Draft Tracker'!A74&gt;$B$4),'Draft Tracker'!A74,9999)</f>
        <v>9999</v>
      </c>
      <c r="S75">
        <f>IF(M75="","",IF(M75="QB",INDEX('Manager Profiles'!$T$5:$T$12,MATCH("Noah",'Manager Profiles'!$A$5:$A$12,0)),IF(M75="RB",INDEX('Manager Profiles'!$U$5:$U$12,MATCH("Noah",'Manager Profiles'!$A$5:$A$12,0)),IF(M75="WR",INDEX('Manager Profiles'!$V$5:$V$12,MATCH("Noah",'Manager Profiles'!$A$5:$A$12,0)),IF(M75="TE",INDEX('Manager Profiles'!$W$5:$W$12,MATCH("Noah",'Manager Profiles'!$A$5:$A$12,0)),0)))))</f>
        <v>9</v>
      </c>
      <c r="T75">
        <f>IF(M75="","",IF(M75="QB",INDEX('Manager Profiles'!$T$5:$T$12,MATCH($B$5,'Manager Profiles'!$A$5:$A$12,0)),IF(M75="RB",INDEX('Manager Profiles'!$U$5:$U$12,MATCH($B$5,'Manager Profiles'!$A$5:$A$12,0)),IF(M75="WR",INDEX('Manager Profiles'!$V$5:$V$12,MATCH($B$5,'Manager Profiles'!$A$5:$A$12,0)),IF(M75="TE",INDEX('Manager Profiles'!$W$5:$W$12,MATCH($B$5,'Manager Profiles'!$A$5:$A$12,0)),0)))))</f>
        <v>2</v>
      </c>
      <c r="U75">
        <f t="shared" si="26"/>
        <v>7</v>
      </c>
      <c r="V75">
        <f t="shared" si="27"/>
        <v>0</v>
      </c>
      <c r="W75">
        <f t="shared" ca="1" si="28"/>
        <v>-9999</v>
      </c>
      <c r="X75">
        <f ca="1">IF(M75="","",IFERROR(_xludf.MINIFS($N$5:$N$164,$M$5:$M$164,M75,$N$5:$N$164,"&gt;"&amp;N75,$P$5:$P$164,"&gt;-9999"),N75+20))</f>
        <v>103</v>
      </c>
      <c r="Y75">
        <f t="shared" ca="1" si="29"/>
        <v>20</v>
      </c>
      <c r="Z75">
        <f t="shared" si="30"/>
        <v>-23</v>
      </c>
      <c r="AA75" t="str">
        <f t="shared" si="31"/>
        <v>No</v>
      </c>
      <c r="AB75" t="str">
        <f t="shared" ca="1" si="32"/>
        <v>Yes</v>
      </c>
      <c r="AC75" t="str">
        <f t="shared" si="33"/>
        <v>No</v>
      </c>
      <c r="AD75" t="str">
        <f t="shared" ca="1" si="34"/>
        <v>No</v>
      </c>
    </row>
    <row r="76" spans="12:30">
      <c r="L76" t="str">
        <f>'Player Board'!B75</f>
        <v>Jared Goff</v>
      </c>
      <c r="M76" t="str">
        <f>'Player Board'!C75</f>
        <v>QB</v>
      </c>
      <c r="N76">
        <f>'Player Board'!H75</f>
        <v>73</v>
      </c>
      <c r="O76">
        <f>'Player Board'!Q75</f>
        <v>16</v>
      </c>
      <c r="P76">
        <f>IF(NOT(AND('Player Board'!J75="No",'Player Board'!K75="No")),-9999,(325-N76*2)+((IF(M76="QB",INDEX('Manager Profiles'!$T$5:$T$12,MATCH($B$5,'Manager Profiles'!$A$5:$A$12,0)),IF(M76="RB",INDEX('Manager Profiles'!$U$5:$U$12,MATCH($B$5,'Manager Profiles'!$A$5:$A$12,0)),IF(M76="WR",INDEX('Manager Profiles'!$V$5:$V$12,MATCH($B$5,'Manager Profiles'!$A$5:$A$12,0)),IF(M76="TE",INDEX('Manager Profiles'!$W$5:$W$12,MATCH($B$5,'Manager Profiles'!$A$5:$A$12,0)),0)))))*3)+(IF($B$6="Contender",IF('Player Board'!R75="Veteran",12,IF('Player Board'!R75="Prime",7,IF('Player Board'!R75="Young",3,-4))),IF($B$6="Rebuilder",IF('Player Board'!R75="Rookie",15,IF('Player Board'!R75="Young",10,IF('Player Board'!R75="Prime",2,-15))),IF('Player Board'!R75="Veteran",-2,IF('Player Board'!R75="Rookie",4,2)))))+MAX(-20,MIN(20,($B$4-IF(O76="",N76,O76))*2))+(IFERROR(IF(INDEX('Player Board'!$F$4:$F$163,MATCH(N76+1,'Player Board'!$H$4:$H$163,0))&gt;'Player Board'!F75,8,0),0)))</f>
        <v>163</v>
      </c>
      <c r="Q76">
        <f t="shared" si="25"/>
        <v>163.0127</v>
      </c>
      <c r="R76">
        <f>IF(AND('Draft Tracker'!D75="Noah",'Draft Tracker'!A75&gt;$B$4),'Draft Tracker'!A75,9999)</f>
        <v>9999</v>
      </c>
      <c r="S76">
        <f>IF(M76="","",IF(M76="QB",INDEX('Manager Profiles'!$T$5:$T$12,MATCH("Noah",'Manager Profiles'!$A$5:$A$12,0)),IF(M76="RB",INDEX('Manager Profiles'!$U$5:$U$12,MATCH("Noah",'Manager Profiles'!$A$5:$A$12,0)),IF(M76="WR",INDEX('Manager Profiles'!$V$5:$V$12,MATCH("Noah",'Manager Profiles'!$A$5:$A$12,0)),IF(M76="TE",INDEX('Manager Profiles'!$W$5:$W$12,MATCH("Noah",'Manager Profiles'!$A$5:$A$12,0)),0)))))</f>
        <v>9</v>
      </c>
      <c r="T76">
        <f>IF(M76="","",IF(M76="QB",INDEX('Manager Profiles'!$T$5:$T$12,MATCH($B$5,'Manager Profiles'!$A$5:$A$12,0)),IF(M76="RB",INDEX('Manager Profiles'!$U$5:$U$12,MATCH($B$5,'Manager Profiles'!$A$5:$A$12,0)),IF(M76="WR",INDEX('Manager Profiles'!$V$5:$V$12,MATCH($B$5,'Manager Profiles'!$A$5:$A$12,0)),IF(M76="TE",INDEX('Manager Profiles'!$W$5:$W$12,MATCH($B$5,'Manager Profiles'!$A$5:$A$12,0)),0)))))</f>
        <v>2</v>
      </c>
      <c r="U76">
        <f t="shared" si="26"/>
        <v>7</v>
      </c>
      <c r="V76">
        <f t="shared" si="27"/>
        <v>0</v>
      </c>
      <c r="W76">
        <f t="shared" ca="1" si="28"/>
        <v>-9999</v>
      </c>
      <c r="X76">
        <f ca="1">IF(M76="","",IFERROR(_xludf.MINIFS($N$5:$N$164,$M$5:$M$164,M76,$N$5:$N$164,"&gt;"&amp;N76,$P$5:$P$164,"&gt;-9999"),N76+20))</f>
        <v>93</v>
      </c>
      <c r="Y76">
        <f t="shared" ca="1" si="29"/>
        <v>20</v>
      </c>
      <c r="Z76">
        <f t="shared" si="30"/>
        <v>-15</v>
      </c>
      <c r="AA76" t="str">
        <f t="shared" si="31"/>
        <v>No</v>
      </c>
      <c r="AB76" t="str">
        <f t="shared" ca="1" si="32"/>
        <v>Yes</v>
      </c>
      <c r="AC76" t="str">
        <f t="shared" si="33"/>
        <v>No</v>
      </c>
      <c r="AD76" t="str">
        <f t="shared" ca="1" si="34"/>
        <v>No</v>
      </c>
    </row>
    <row r="77" spans="12:30">
      <c r="L77" t="str">
        <f>'Player Board'!B76</f>
        <v>Baker Mayfield</v>
      </c>
      <c r="M77" t="str">
        <f>'Player Board'!C76</f>
        <v>QB</v>
      </c>
      <c r="N77">
        <f>'Player Board'!H76</f>
        <v>74</v>
      </c>
      <c r="O77">
        <f>'Player Board'!Q76</f>
        <v>17</v>
      </c>
      <c r="P77">
        <f>IF(NOT(AND('Player Board'!J76="No",'Player Board'!K76="No")),-9999,(325-N77*2)+((IF(M77="QB",INDEX('Manager Profiles'!$T$5:$T$12,MATCH($B$5,'Manager Profiles'!$A$5:$A$12,0)),IF(M77="RB",INDEX('Manager Profiles'!$U$5:$U$12,MATCH($B$5,'Manager Profiles'!$A$5:$A$12,0)),IF(M77="WR",INDEX('Manager Profiles'!$V$5:$V$12,MATCH($B$5,'Manager Profiles'!$A$5:$A$12,0)),IF(M77="TE",INDEX('Manager Profiles'!$W$5:$W$12,MATCH($B$5,'Manager Profiles'!$A$5:$A$12,0)),0)))))*3)+(IF($B$6="Contender",IF('Player Board'!R76="Veteran",12,IF('Player Board'!R76="Prime",7,IF('Player Board'!R76="Young",3,-4))),IF($B$6="Rebuilder",IF('Player Board'!R76="Rookie",15,IF('Player Board'!R76="Young",10,IF('Player Board'!R76="Prime",2,-15))),IF('Player Board'!R76="Veteran",-2,IF('Player Board'!R76="Rookie",4,2)))))+MAX(-20,MIN(20,($B$4-IF(O77="",N77,O77))*2))+(IFERROR(IF(INDEX('Player Board'!$F$4:$F$163,MATCH(N77+1,'Player Board'!$H$4:$H$163,0))&gt;'Player Board'!F76,8,0),0)))</f>
        <v>161</v>
      </c>
      <c r="Q77">
        <f t="shared" si="25"/>
        <v>161.01259999999999</v>
      </c>
      <c r="R77">
        <f>IF(AND('Draft Tracker'!D76="Noah",'Draft Tracker'!A76&gt;$B$4),'Draft Tracker'!A76,9999)</f>
        <v>9999</v>
      </c>
      <c r="S77">
        <f>IF(M77="","",IF(M77="QB",INDEX('Manager Profiles'!$T$5:$T$12,MATCH("Noah",'Manager Profiles'!$A$5:$A$12,0)),IF(M77="RB",INDEX('Manager Profiles'!$U$5:$U$12,MATCH("Noah",'Manager Profiles'!$A$5:$A$12,0)),IF(M77="WR",INDEX('Manager Profiles'!$V$5:$V$12,MATCH("Noah",'Manager Profiles'!$A$5:$A$12,0)),IF(M77="TE",INDEX('Manager Profiles'!$W$5:$W$12,MATCH("Noah",'Manager Profiles'!$A$5:$A$12,0)),0)))))</f>
        <v>9</v>
      </c>
      <c r="T77">
        <f>IF(M77="","",IF(M77="QB",INDEX('Manager Profiles'!$T$5:$T$12,MATCH($B$5,'Manager Profiles'!$A$5:$A$12,0)),IF(M77="RB",INDEX('Manager Profiles'!$U$5:$U$12,MATCH($B$5,'Manager Profiles'!$A$5:$A$12,0)),IF(M77="WR",INDEX('Manager Profiles'!$V$5:$V$12,MATCH($B$5,'Manager Profiles'!$A$5:$A$12,0)),IF(M77="TE",INDEX('Manager Profiles'!$W$5:$W$12,MATCH($B$5,'Manager Profiles'!$A$5:$A$12,0)),0)))))</f>
        <v>2</v>
      </c>
      <c r="U77">
        <f t="shared" si="26"/>
        <v>7</v>
      </c>
      <c r="V77">
        <f t="shared" si="27"/>
        <v>0</v>
      </c>
      <c r="W77">
        <f t="shared" ca="1" si="28"/>
        <v>-9999</v>
      </c>
      <c r="X77">
        <f ca="1">IF(M77="","",IFERROR(_xludf.MINIFS($N$5:$N$164,$M$5:$M$164,M77,$N$5:$N$164,"&gt;"&amp;N77,$P$5:$P$164,"&gt;-9999"),N77+20))</f>
        <v>94</v>
      </c>
      <c r="Y77">
        <f t="shared" ca="1" si="29"/>
        <v>20</v>
      </c>
      <c r="Z77">
        <f t="shared" si="30"/>
        <v>-16</v>
      </c>
      <c r="AA77" t="str">
        <f t="shared" si="31"/>
        <v>No</v>
      </c>
      <c r="AB77" t="str">
        <f t="shared" ca="1" si="32"/>
        <v>Yes</v>
      </c>
      <c r="AC77" t="str">
        <f t="shared" si="33"/>
        <v>No</v>
      </c>
      <c r="AD77" t="str">
        <f t="shared" ca="1" si="34"/>
        <v>No</v>
      </c>
    </row>
    <row r="78" spans="12:30">
      <c r="L78" t="str">
        <f>'Player Board'!B77</f>
        <v>Jameson Williams</v>
      </c>
      <c r="M78" t="str">
        <f>'Player Board'!C77</f>
        <v>WR</v>
      </c>
      <c r="N78">
        <f>'Player Board'!H77</f>
        <v>76</v>
      </c>
      <c r="O78">
        <f>'Player Board'!Q77</f>
        <v>19</v>
      </c>
      <c r="P78">
        <f>IF(NOT(AND('Player Board'!J77="No",'Player Board'!K77="No")),-9999,(325-N78*2)+((IF(M78="QB",INDEX('Manager Profiles'!$T$5:$T$12,MATCH($B$5,'Manager Profiles'!$A$5:$A$12,0)),IF(M78="RB",INDEX('Manager Profiles'!$U$5:$U$12,MATCH($B$5,'Manager Profiles'!$A$5:$A$12,0)),IF(M78="WR",INDEX('Manager Profiles'!$V$5:$V$12,MATCH($B$5,'Manager Profiles'!$A$5:$A$12,0)),IF(M78="TE",INDEX('Manager Profiles'!$W$5:$W$12,MATCH($B$5,'Manager Profiles'!$A$5:$A$12,0)),0)))))*3)+(IF($B$6="Contender",IF('Player Board'!R77="Veteran",12,IF('Player Board'!R77="Prime",7,IF('Player Board'!R77="Young",3,-4))),IF($B$6="Rebuilder",IF('Player Board'!R77="Rookie",15,IF('Player Board'!R77="Young",10,IF('Player Board'!R77="Prime",2,-15))),IF('Player Board'!R77="Veteran",-2,IF('Player Board'!R77="Rookie",4,2)))))+MAX(-20,MIN(20,($B$4-IF(O78="",N78,O78))*2))+(IFERROR(IF(INDEX('Player Board'!$F$4:$F$163,MATCH(N78+1,'Player Board'!$H$4:$H$163,0))&gt;'Player Board'!F77,8,0),0)))</f>
        <v>164</v>
      </c>
      <c r="Q78">
        <f t="shared" si="25"/>
        <v>164.01240000000001</v>
      </c>
      <c r="R78">
        <f>IF(AND('Draft Tracker'!D77="Noah",'Draft Tracker'!A77&gt;$B$4),'Draft Tracker'!A77,9999)</f>
        <v>9999</v>
      </c>
      <c r="S78">
        <f>IF(M78="","",IF(M78="QB",INDEX('Manager Profiles'!$T$5:$T$12,MATCH("Noah",'Manager Profiles'!$A$5:$A$12,0)),IF(M78="RB",INDEX('Manager Profiles'!$U$5:$U$12,MATCH("Noah",'Manager Profiles'!$A$5:$A$12,0)),IF(M78="WR",INDEX('Manager Profiles'!$V$5:$V$12,MATCH("Noah",'Manager Profiles'!$A$5:$A$12,0)),IF(M78="TE",INDEX('Manager Profiles'!$W$5:$W$12,MATCH("Noah",'Manager Profiles'!$A$5:$A$12,0)),0)))))</f>
        <v>1</v>
      </c>
      <c r="T78">
        <f>IF(M78="","",IF(M78="QB",INDEX('Manager Profiles'!$T$5:$T$12,MATCH($B$5,'Manager Profiles'!$A$5:$A$12,0)),IF(M78="RB",INDEX('Manager Profiles'!$U$5:$U$12,MATCH($B$5,'Manager Profiles'!$A$5:$A$12,0)),IF(M78="WR",INDEX('Manager Profiles'!$V$5:$V$12,MATCH($B$5,'Manager Profiles'!$A$5:$A$12,0)),IF(M78="TE",INDEX('Manager Profiles'!$W$5:$W$12,MATCH($B$5,'Manager Profiles'!$A$5:$A$12,0)),0)))))</f>
        <v>3</v>
      </c>
      <c r="U78">
        <f t="shared" si="26"/>
        <v>-2</v>
      </c>
      <c r="V78">
        <f t="shared" si="27"/>
        <v>0</v>
      </c>
      <c r="W78">
        <f t="shared" ca="1" si="28"/>
        <v>-9999</v>
      </c>
      <c r="X78">
        <f ca="1">IF(M78="","",IFERROR(_xludf.MINIFS($N$5:$N$164,$M$5:$M$164,M78,$N$5:$N$164,"&gt;"&amp;N78,$P$5:$P$164,"&gt;-9999"),N78+20))</f>
        <v>96</v>
      </c>
      <c r="Y78">
        <f t="shared" ca="1" si="29"/>
        <v>20</v>
      </c>
      <c r="Z78">
        <f t="shared" si="30"/>
        <v>-18</v>
      </c>
      <c r="AA78" t="str">
        <f t="shared" si="31"/>
        <v>No</v>
      </c>
      <c r="AB78" t="str">
        <f t="shared" ca="1" si="32"/>
        <v>Yes</v>
      </c>
      <c r="AC78" t="str">
        <f t="shared" si="33"/>
        <v>No</v>
      </c>
      <c r="AD78" t="str">
        <f t="shared" ca="1" si="34"/>
        <v>No</v>
      </c>
    </row>
    <row r="79" spans="12:30">
      <c r="L79" t="str">
        <f>'Player Board'!B78</f>
        <v>Bucky Irving</v>
      </c>
      <c r="M79" t="str">
        <f>'Player Board'!C78</f>
        <v>RB</v>
      </c>
      <c r="N79">
        <f>'Player Board'!H78</f>
        <v>63</v>
      </c>
      <c r="O79" t="str">
        <f>'Player Board'!Q78</f>
        <v/>
      </c>
      <c r="P79">
        <f>IF(NOT(AND('Player Board'!J78="No",'Player Board'!K78="No")),-9999,(325-N79*2)+((IF(M79="QB",INDEX('Manager Profiles'!$T$5:$T$12,MATCH($B$5,'Manager Profiles'!$A$5:$A$12,0)),IF(M79="RB",INDEX('Manager Profiles'!$U$5:$U$12,MATCH($B$5,'Manager Profiles'!$A$5:$A$12,0)),IF(M79="WR",INDEX('Manager Profiles'!$V$5:$V$12,MATCH($B$5,'Manager Profiles'!$A$5:$A$12,0)),IF(M79="TE",INDEX('Manager Profiles'!$W$5:$W$12,MATCH($B$5,'Manager Profiles'!$A$5:$A$12,0)),0)))))*3)+(IF($B$6="Contender",IF('Player Board'!R78="Veteran",12,IF('Player Board'!R78="Prime",7,IF('Player Board'!R78="Young",3,-4))),IF($B$6="Rebuilder",IF('Player Board'!R78="Rookie",15,IF('Player Board'!R78="Young",10,IF('Player Board'!R78="Prime",2,-15))),IF('Player Board'!R78="Veteran",-2,IF('Player Board'!R78="Rookie",4,2)))))+MAX(-20,MIN(20,($B$4-IF(O79="",N79,O79))*2))+(IFERROR(IF(INDEX('Player Board'!$F$4:$F$163,MATCH(N79+1,'Player Board'!$H$4:$H$163,0))&gt;'Player Board'!F78,8,0),0)))</f>
        <v>-9999</v>
      </c>
      <c r="Q79">
        <f t="shared" si="25"/>
        <v>-9998.9863000000005</v>
      </c>
      <c r="R79">
        <f>IF(AND('Draft Tracker'!D78="Noah",'Draft Tracker'!A78&gt;$B$4),'Draft Tracker'!A78,9999)</f>
        <v>9999</v>
      </c>
      <c r="S79">
        <f>IF(M79="","",IF(M79="QB",INDEX('Manager Profiles'!$T$5:$T$12,MATCH("Noah",'Manager Profiles'!$A$5:$A$12,0)),IF(M79="RB",INDEX('Manager Profiles'!$U$5:$U$12,MATCH("Noah",'Manager Profiles'!$A$5:$A$12,0)),IF(M79="WR",INDEX('Manager Profiles'!$V$5:$V$12,MATCH("Noah",'Manager Profiles'!$A$5:$A$12,0)),IF(M79="TE",INDEX('Manager Profiles'!$W$5:$W$12,MATCH("Noah",'Manager Profiles'!$A$5:$A$12,0)),0)))))</f>
        <v>4</v>
      </c>
      <c r="T79">
        <f>IF(M79="","",IF(M79="QB",INDEX('Manager Profiles'!$T$5:$T$12,MATCH($B$5,'Manager Profiles'!$A$5:$A$12,0)),IF(M79="RB",INDEX('Manager Profiles'!$U$5:$U$12,MATCH($B$5,'Manager Profiles'!$A$5:$A$12,0)),IF(M79="WR",INDEX('Manager Profiles'!$V$5:$V$12,MATCH($B$5,'Manager Profiles'!$A$5:$A$12,0)),IF(M79="TE",INDEX('Manager Profiles'!$W$5:$W$12,MATCH($B$5,'Manager Profiles'!$A$5:$A$12,0)),0)))))</f>
        <v>9</v>
      </c>
      <c r="U79">
        <f t="shared" si="26"/>
        <v>-5</v>
      </c>
      <c r="V79" t="str">
        <f t="shared" si="27"/>
        <v/>
      </c>
      <c r="W79">
        <f t="shared" ca="1" si="28"/>
        <v>-9999</v>
      </c>
      <c r="X79">
        <f ca="1">IF(M79="","",IFERROR(_xludf.MINIFS($N$5:$N$164,$M$5:$M$164,M79,$N$5:$N$164,"&gt;"&amp;N79,$P$5:$P$164,"&gt;-9999"),N79+20))</f>
        <v>83</v>
      </c>
      <c r="Y79">
        <f t="shared" ca="1" si="29"/>
        <v>20</v>
      </c>
      <c r="Z79" t="str">
        <f t="shared" si="30"/>
        <v/>
      </c>
      <c r="AA79" t="str">
        <f t="shared" si="31"/>
        <v>Yes</v>
      </c>
      <c r="AB79" t="str">
        <f t="shared" ca="1" si="32"/>
        <v>Yes</v>
      </c>
      <c r="AC79" t="str">
        <f t="shared" si="33"/>
        <v>Yes</v>
      </c>
      <c r="AD79" t="str">
        <f t="shared" ca="1" si="34"/>
        <v>No</v>
      </c>
    </row>
    <row r="80" spans="12:30">
      <c r="L80" t="str">
        <f>'Player Board'!B79</f>
        <v>Javonte Williams</v>
      </c>
      <c r="M80" t="str">
        <f>'Player Board'!C79</f>
        <v>RB</v>
      </c>
      <c r="N80">
        <f>'Player Board'!H79</f>
        <v>75</v>
      </c>
      <c r="O80">
        <f>'Player Board'!Q79</f>
        <v>18</v>
      </c>
      <c r="P80">
        <f>IF(NOT(AND('Player Board'!J79="No",'Player Board'!K79="No")),-9999,(325-N80*2)+((IF(M80="QB",INDEX('Manager Profiles'!$T$5:$T$12,MATCH($B$5,'Manager Profiles'!$A$5:$A$12,0)),IF(M80="RB",INDEX('Manager Profiles'!$U$5:$U$12,MATCH($B$5,'Manager Profiles'!$A$5:$A$12,0)),IF(M80="WR",INDEX('Manager Profiles'!$V$5:$V$12,MATCH($B$5,'Manager Profiles'!$A$5:$A$12,0)),IF(M80="TE",INDEX('Manager Profiles'!$W$5:$W$12,MATCH($B$5,'Manager Profiles'!$A$5:$A$12,0)),0)))))*3)+(IF($B$6="Contender",IF('Player Board'!R79="Veteran",12,IF('Player Board'!R79="Prime",7,IF('Player Board'!R79="Young",3,-4))),IF($B$6="Rebuilder",IF('Player Board'!R79="Rookie",15,IF('Player Board'!R79="Young",10,IF('Player Board'!R79="Prime",2,-15))),IF('Player Board'!R79="Veteran",-2,IF('Player Board'!R79="Rookie",4,2)))))+MAX(-20,MIN(20,($B$4-IF(O80="",N80,O80))*2))+(IFERROR(IF(INDEX('Player Board'!$F$4:$F$163,MATCH(N80+1,'Player Board'!$H$4:$H$163,0))&gt;'Player Board'!F79,8,0),0)))</f>
        <v>184</v>
      </c>
      <c r="Q80">
        <f t="shared" si="25"/>
        <v>184.01249999999999</v>
      </c>
      <c r="R80">
        <f>IF(AND('Draft Tracker'!D79="Noah",'Draft Tracker'!A79&gt;$B$4),'Draft Tracker'!A79,9999)</f>
        <v>76</v>
      </c>
      <c r="S80">
        <f>IF(M80="","",IF(M80="QB",INDEX('Manager Profiles'!$T$5:$T$12,MATCH("Noah",'Manager Profiles'!$A$5:$A$12,0)),IF(M80="RB",INDEX('Manager Profiles'!$U$5:$U$12,MATCH("Noah",'Manager Profiles'!$A$5:$A$12,0)),IF(M80="WR",INDEX('Manager Profiles'!$V$5:$V$12,MATCH("Noah",'Manager Profiles'!$A$5:$A$12,0)),IF(M80="TE",INDEX('Manager Profiles'!$W$5:$W$12,MATCH("Noah",'Manager Profiles'!$A$5:$A$12,0)),0)))))</f>
        <v>4</v>
      </c>
      <c r="T80">
        <f>IF(M80="","",IF(M80="QB",INDEX('Manager Profiles'!$T$5:$T$12,MATCH($B$5,'Manager Profiles'!$A$5:$A$12,0)),IF(M80="RB",INDEX('Manager Profiles'!$U$5:$U$12,MATCH($B$5,'Manager Profiles'!$A$5:$A$12,0)),IF(M80="WR",INDEX('Manager Profiles'!$V$5:$V$12,MATCH($B$5,'Manager Profiles'!$A$5:$A$12,0)),IF(M80="TE",INDEX('Manager Profiles'!$W$5:$W$12,MATCH($B$5,'Manager Profiles'!$A$5:$A$12,0)),0)))))</f>
        <v>9</v>
      </c>
      <c r="U80">
        <f t="shared" si="26"/>
        <v>-5</v>
      </c>
      <c r="V80">
        <f t="shared" si="27"/>
        <v>0</v>
      </c>
      <c r="W80">
        <f t="shared" ca="1" si="28"/>
        <v>-9999</v>
      </c>
      <c r="X80">
        <f ca="1">IF(M80="","",IFERROR(_xludf.MINIFS($N$5:$N$164,$M$5:$M$164,M80,$N$5:$N$164,"&gt;"&amp;N80,$P$5:$P$164,"&gt;-9999"),N80+20))</f>
        <v>95</v>
      </c>
      <c r="Y80">
        <f t="shared" ca="1" si="29"/>
        <v>20</v>
      </c>
      <c r="Z80">
        <f t="shared" si="30"/>
        <v>-17</v>
      </c>
      <c r="AA80" t="str">
        <f t="shared" si="31"/>
        <v>No</v>
      </c>
      <c r="AB80" t="str">
        <f t="shared" ca="1" si="32"/>
        <v>Yes</v>
      </c>
      <c r="AC80" t="str">
        <f t="shared" si="33"/>
        <v>No</v>
      </c>
      <c r="AD80" t="str">
        <f t="shared" ca="1" si="34"/>
        <v>No</v>
      </c>
    </row>
    <row r="81" spans="12:30">
      <c r="L81" t="str">
        <f>'Player Board'!B80</f>
        <v>Sam LaPorta</v>
      </c>
      <c r="M81" t="str">
        <f>'Player Board'!C80</f>
        <v>TE</v>
      </c>
      <c r="N81">
        <f>'Player Board'!H80</f>
        <v>68</v>
      </c>
      <c r="O81">
        <f>'Player Board'!Q80</f>
        <v>12</v>
      </c>
      <c r="P81">
        <f>IF(NOT(AND('Player Board'!J80="No",'Player Board'!K80="No")),-9999,(325-N81*2)+((IF(M81="QB",INDEX('Manager Profiles'!$T$5:$T$12,MATCH($B$5,'Manager Profiles'!$A$5:$A$12,0)),IF(M81="RB",INDEX('Manager Profiles'!$U$5:$U$12,MATCH($B$5,'Manager Profiles'!$A$5:$A$12,0)),IF(M81="WR",INDEX('Manager Profiles'!$V$5:$V$12,MATCH($B$5,'Manager Profiles'!$A$5:$A$12,0)),IF(M81="TE",INDEX('Manager Profiles'!$W$5:$W$12,MATCH($B$5,'Manager Profiles'!$A$5:$A$12,0)),0)))))*3)+(IF($B$6="Contender",IF('Player Board'!R80="Veteran",12,IF('Player Board'!R80="Prime",7,IF('Player Board'!R80="Young",3,-4))),IF($B$6="Rebuilder",IF('Player Board'!R80="Rookie",15,IF('Player Board'!R80="Young",10,IF('Player Board'!R80="Prime",2,-15))),IF('Player Board'!R80="Veteran",-2,IF('Player Board'!R80="Rookie",4,2)))))+MAX(-20,MIN(20,($B$4-IF(O81="",N81,O81))*2))+(IFERROR(IF(INDEX('Player Board'!$F$4:$F$163,MATCH(N81+1,'Player Board'!$H$4:$H$163,0))&gt;'Player Board'!F80,8,0),0)))</f>
        <v>180</v>
      </c>
      <c r="Q81">
        <f t="shared" si="25"/>
        <v>180.01320000000001</v>
      </c>
      <c r="R81">
        <f>IF(AND('Draft Tracker'!D80="Noah",'Draft Tracker'!A80&gt;$B$4),'Draft Tracker'!A80,9999)</f>
        <v>9999</v>
      </c>
      <c r="S81">
        <f>IF(M81="","",IF(M81="QB",INDEX('Manager Profiles'!$T$5:$T$12,MATCH("Noah",'Manager Profiles'!$A$5:$A$12,0)),IF(M81="RB",INDEX('Manager Profiles'!$U$5:$U$12,MATCH("Noah",'Manager Profiles'!$A$5:$A$12,0)),IF(M81="WR",INDEX('Manager Profiles'!$V$5:$V$12,MATCH("Noah",'Manager Profiles'!$A$5:$A$12,0)),IF(M81="TE",INDEX('Manager Profiles'!$W$5:$W$12,MATCH("Noah",'Manager Profiles'!$A$5:$A$12,0)),0)))))</f>
        <v>7</v>
      </c>
      <c r="T81">
        <f>IF(M81="","",IF(M81="QB",INDEX('Manager Profiles'!$T$5:$T$12,MATCH($B$5,'Manager Profiles'!$A$5:$A$12,0)),IF(M81="RB",INDEX('Manager Profiles'!$U$5:$U$12,MATCH($B$5,'Manager Profiles'!$A$5:$A$12,0)),IF(M81="WR",INDEX('Manager Profiles'!$V$5:$V$12,MATCH($B$5,'Manager Profiles'!$A$5:$A$12,0)),IF(M81="TE",INDEX('Manager Profiles'!$W$5:$W$12,MATCH($B$5,'Manager Profiles'!$A$5:$A$12,0)),0)))))</f>
        <v>3</v>
      </c>
      <c r="U81">
        <f t="shared" si="26"/>
        <v>4</v>
      </c>
      <c r="V81">
        <f t="shared" si="27"/>
        <v>1</v>
      </c>
      <c r="W81">
        <f t="shared" ca="1" si="28"/>
        <v>-9999</v>
      </c>
      <c r="X81">
        <f ca="1">IF(M81="","",IFERROR(_xludf.MINIFS($N$5:$N$164,$M$5:$M$164,M81,$N$5:$N$164,"&gt;"&amp;N81,$P$5:$P$164,"&gt;-9999"),N81+20))</f>
        <v>88</v>
      </c>
      <c r="Y81">
        <f t="shared" ca="1" si="29"/>
        <v>20</v>
      </c>
      <c r="Z81">
        <f t="shared" si="30"/>
        <v>-11</v>
      </c>
      <c r="AA81" t="str">
        <f t="shared" si="31"/>
        <v>No</v>
      </c>
      <c r="AB81" t="str">
        <f t="shared" ca="1" si="32"/>
        <v>Yes</v>
      </c>
      <c r="AC81" t="str">
        <f t="shared" si="33"/>
        <v>No</v>
      </c>
      <c r="AD81" t="str">
        <f t="shared" ca="1" si="34"/>
        <v>No</v>
      </c>
    </row>
    <row r="82" spans="12:30">
      <c r="L82" t="str">
        <f>'Player Board'!B81</f>
        <v>Kyle Pitts</v>
      </c>
      <c r="M82" t="str">
        <f>'Player Board'!C81</f>
        <v>TE</v>
      </c>
      <c r="N82">
        <f>'Player Board'!H81</f>
        <v>84</v>
      </c>
      <c r="O82">
        <f>'Player Board'!Q81</f>
        <v>25</v>
      </c>
      <c r="P82">
        <f>IF(NOT(AND('Player Board'!J81="No",'Player Board'!K81="No")),-9999,(325-N82*2)+((IF(M82="QB",INDEX('Manager Profiles'!$T$5:$T$12,MATCH($B$5,'Manager Profiles'!$A$5:$A$12,0)),IF(M82="RB",INDEX('Manager Profiles'!$U$5:$U$12,MATCH($B$5,'Manager Profiles'!$A$5:$A$12,0)),IF(M82="WR",INDEX('Manager Profiles'!$V$5:$V$12,MATCH($B$5,'Manager Profiles'!$A$5:$A$12,0)),IF(M82="TE",INDEX('Manager Profiles'!$W$5:$W$12,MATCH($B$5,'Manager Profiles'!$A$5:$A$12,0)),0)))))*3)+(IF($B$6="Contender",IF('Player Board'!R81="Veteran",12,IF('Player Board'!R81="Prime",7,IF('Player Board'!R81="Young",3,-4))),IF($B$6="Rebuilder",IF('Player Board'!R81="Rookie",15,IF('Player Board'!R81="Young",10,IF('Player Board'!R81="Prime",2,-15))),IF('Player Board'!R81="Veteran",-2,IF('Player Board'!R81="Rookie",4,2)))))+MAX(-20,MIN(20,($B$4-IF(O82="",N82,O82))*2))+(IFERROR(IF(INDEX('Player Board'!$F$4:$F$163,MATCH(N82+1,'Player Board'!$H$4:$H$163,0))&gt;'Player Board'!F81,8,0),0)))</f>
        <v>148</v>
      </c>
      <c r="Q82">
        <f t="shared" si="25"/>
        <v>148.01159999999999</v>
      </c>
      <c r="R82">
        <f>IF(AND('Draft Tracker'!D81="Noah",'Draft Tracker'!A81&gt;$B$4),'Draft Tracker'!A81,9999)</f>
        <v>9999</v>
      </c>
      <c r="S82">
        <f>IF(M82="","",IF(M82="QB",INDEX('Manager Profiles'!$T$5:$T$12,MATCH("Noah",'Manager Profiles'!$A$5:$A$12,0)),IF(M82="RB",INDEX('Manager Profiles'!$U$5:$U$12,MATCH("Noah",'Manager Profiles'!$A$5:$A$12,0)),IF(M82="WR",INDEX('Manager Profiles'!$V$5:$V$12,MATCH("Noah",'Manager Profiles'!$A$5:$A$12,0)),IF(M82="TE",INDEX('Manager Profiles'!$W$5:$W$12,MATCH("Noah",'Manager Profiles'!$A$5:$A$12,0)),0)))))</f>
        <v>7</v>
      </c>
      <c r="T82">
        <f>IF(M82="","",IF(M82="QB",INDEX('Manager Profiles'!$T$5:$T$12,MATCH($B$5,'Manager Profiles'!$A$5:$A$12,0)),IF(M82="RB",INDEX('Manager Profiles'!$U$5:$U$12,MATCH($B$5,'Manager Profiles'!$A$5:$A$12,0)),IF(M82="WR",INDEX('Manager Profiles'!$V$5:$V$12,MATCH($B$5,'Manager Profiles'!$A$5:$A$12,0)),IF(M82="TE",INDEX('Manager Profiles'!$W$5:$W$12,MATCH($B$5,'Manager Profiles'!$A$5:$A$12,0)),0)))))</f>
        <v>3</v>
      </c>
      <c r="U82">
        <f t="shared" si="26"/>
        <v>4</v>
      </c>
      <c r="V82">
        <f t="shared" si="27"/>
        <v>0</v>
      </c>
      <c r="W82">
        <f t="shared" ca="1" si="28"/>
        <v>-9999</v>
      </c>
      <c r="X82">
        <f ca="1">IF(M82="","",IFERROR(_xludf.MINIFS($N$5:$N$164,$M$5:$M$164,M82,$N$5:$N$164,"&gt;"&amp;N82,$P$5:$P$164,"&gt;-9999"),N82+20))</f>
        <v>104</v>
      </c>
      <c r="Y82">
        <f t="shared" ca="1" si="29"/>
        <v>20</v>
      </c>
      <c r="Z82">
        <f t="shared" si="30"/>
        <v>-24</v>
      </c>
      <c r="AA82" t="str">
        <f t="shared" si="31"/>
        <v>No</v>
      </c>
      <c r="AB82" t="str">
        <f t="shared" ca="1" si="32"/>
        <v>Yes</v>
      </c>
      <c r="AC82" t="str">
        <f t="shared" si="33"/>
        <v>No</v>
      </c>
      <c r="AD82" t="str">
        <f t="shared" ca="1" si="34"/>
        <v>No</v>
      </c>
    </row>
    <row r="83" spans="12:30">
      <c r="L83" t="str">
        <f>'Player Board'!B82</f>
        <v>Sam Darnold</v>
      </c>
      <c r="M83" t="str">
        <f>'Player Board'!C82</f>
        <v>QB</v>
      </c>
      <c r="N83">
        <f>'Player Board'!H82</f>
        <v>85</v>
      </c>
      <c r="O83">
        <f>'Player Board'!Q82</f>
        <v>26</v>
      </c>
      <c r="P83">
        <f>IF(NOT(AND('Player Board'!J82="No",'Player Board'!K82="No")),-9999,(325-N83*2)+((IF(M83="QB",INDEX('Manager Profiles'!$T$5:$T$12,MATCH($B$5,'Manager Profiles'!$A$5:$A$12,0)),IF(M83="RB",INDEX('Manager Profiles'!$U$5:$U$12,MATCH($B$5,'Manager Profiles'!$A$5:$A$12,0)),IF(M83="WR",INDEX('Manager Profiles'!$V$5:$V$12,MATCH($B$5,'Manager Profiles'!$A$5:$A$12,0)),IF(M83="TE",INDEX('Manager Profiles'!$W$5:$W$12,MATCH($B$5,'Manager Profiles'!$A$5:$A$12,0)),0)))))*3)+(IF($B$6="Contender",IF('Player Board'!R82="Veteran",12,IF('Player Board'!R82="Prime",7,IF('Player Board'!R82="Young",3,-4))),IF($B$6="Rebuilder",IF('Player Board'!R82="Rookie",15,IF('Player Board'!R82="Young",10,IF('Player Board'!R82="Prime",2,-15))),IF('Player Board'!R82="Veteran",-2,IF('Player Board'!R82="Rookie",4,2)))))+MAX(-20,MIN(20,($B$4-IF(O83="",N83,O83))*2))+(IFERROR(IF(INDEX('Player Board'!$F$4:$F$163,MATCH(N83+1,'Player Board'!$H$4:$H$163,0))&gt;'Player Board'!F82,8,0),0)))</f>
        <v>139</v>
      </c>
      <c r="Q83">
        <f t="shared" si="25"/>
        <v>139.01150000000001</v>
      </c>
      <c r="R83">
        <f>IF(AND('Draft Tracker'!D82="Noah",'Draft Tracker'!A82&gt;$B$4),'Draft Tracker'!A82,9999)</f>
        <v>9999</v>
      </c>
      <c r="S83">
        <f>IF(M83="","",IF(M83="QB",INDEX('Manager Profiles'!$T$5:$T$12,MATCH("Noah",'Manager Profiles'!$A$5:$A$12,0)),IF(M83="RB",INDEX('Manager Profiles'!$U$5:$U$12,MATCH("Noah",'Manager Profiles'!$A$5:$A$12,0)),IF(M83="WR",INDEX('Manager Profiles'!$V$5:$V$12,MATCH("Noah",'Manager Profiles'!$A$5:$A$12,0)),IF(M83="TE",INDEX('Manager Profiles'!$W$5:$W$12,MATCH("Noah",'Manager Profiles'!$A$5:$A$12,0)),0)))))</f>
        <v>9</v>
      </c>
      <c r="T83">
        <f>IF(M83="","",IF(M83="QB",INDEX('Manager Profiles'!$T$5:$T$12,MATCH($B$5,'Manager Profiles'!$A$5:$A$12,0)),IF(M83="RB",INDEX('Manager Profiles'!$U$5:$U$12,MATCH($B$5,'Manager Profiles'!$A$5:$A$12,0)),IF(M83="WR",INDEX('Manager Profiles'!$V$5:$V$12,MATCH($B$5,'Manager Profiles'!$A$5:$A$12,0)),IF(M83="TE",INDEX('Manager Profiles'!$W$5:$W$12,MATCH($B$5,'Manager Profiles'!$A$5:$A$12,0)),0)))))</f>
        <v>2</v>
      </c>
      <c r="U83">
        <f t="shared" si="26"/>
        <v>7</v>
      </c>
      <c r="V83">
        <f t="shared" si="27"/>
        <v>0</v>
      </c>
      <c r="W83">
        <f t="shared" ca="1" si="28"/>
        <v>-9999</v>
      </c>
      <c r="X83">
        <f ca="1">IF(M83="","",IFERROR(_xludf.MINIFS($N$5:$N$164,$M$5:$M$164,M83,$N$5:$N$164,"&gt;"&amp;N83,$P$5:$P$164,"&gt;-9999"),N83+20))</f>
        <v>105</v>
      </c>
      <c r="Y83">
        <f t="shared" ca="1" si="29"/>
        <v>20</v>
      </c>
      <c r="Z83">
        <f t="shared" si="30"/>
        <v>-25</v>
      </c>
      <c r="AA83" t="str">
        <f t="shared" si="31"/>
        <v>No</v>
      </c>
      <c r="AB83" t="str">
        <f t="shared" ca="1" si="32"/>
        <v>Yes</v>
      </c>
      <c r="AC83" t="str">
        <f t="shared" si="33"/>
        <v>No</v>
      </c>
      <c r="AD83" t="str">
        <f t="shared" ca="1" si="34"/>
        <v>No</v>
      </c>
    </row>
    <row r="84" spans="12:30">
      <c r="L84" t="str">
        <f>'Player Board'!B83</f>
        <v>Travis Etienne Jr.</v>
      </c>
      <c r="M84" t="str">
        <f>'Player Board'!C83</f>
        <v>RB</v>
      </c>
      <c r="N84">
        <f>'Player Board'!H83</f>
        <v>86</v>
      </c>
      <c r="O84">
        <f>'Player Board'!Q83</f>
        <v>27</v>
      </c>
      <c r="P84">
        <f>IF(NOT(AND('Player Board'!J83="No",'Player Board'!K83="No")),-9999,(325-N84*2)+((IF(M84="QB",INDEX('Manager Profiles'!$T$5:$T$12,MATCH($B$5,'Manager Profiles'!$A$5:$A$12,0)),IF(M84="RB",INDEX('Manager Profiles'!$U$5:$U$12,MATCH($B$5,'Manager Profiles'!$A$5:$A$12,0)),IF(M84="WR",INDEX('Manager Profiles'!$V$5:$V$12,MATCH($B$5,'Manager Profiles'!$A$5:$A$12,0)),IF(M84="TE",INDEX('Manager Profiles'!$W$5:$W$12,MATCH($B$5,'Manager Profiles'!$A$5:$A$12,0)),0)))))*3)+(IF($B$6="Contender",IF('Player Board'!R83="Veteran",12,IF('Player Board'!R83="Prime",7,IF('Player Board'!R83="Young",3,-4))),IF($B$6="Rebuilder",IF('Player Board'!R83="Rookie",15,IF('Player Board'!R83="Young",10,IF('Player Board'!R83="Prime",2,-15))),IF('Player Board'!R83="Veteran",-2,IF('Player Board'!R83="Rookie",4,2)))))+MAX(-20,MIN(20,($B$4-IF(O84="",N84,O84))*2))+(IFERROR(IF(INDEX('Player Board'!$F$4:$F$163,MATCH(N84+1,'Player Board'!$H$4:$H$163,0))&gt;'Player Board'!F83,8,0),0)))</f>
        <v>158</v>
      </c>
      <c r="Q84">
        <f t="shared" si="25"/>
        <v>158.01140000000001</v>
      </c>
      <c r="R84">
        <f>IF(AND('Draft Tracker'!D83="Noah",'Draft Tracker'!A83&gt;$B$4),'Draft Tracker'!A83,9999)</f>
        <v>9999</v>
      </c>
      <c r="S84">
        <f>IF(M84="","",IF(M84="QB",INDEX('Manager Profiles'!$T$5:$T$12,MATCH("Noah",'Manager Profiles'!$A$5:$A$12,0)),IF(M84="RB",INDEX('Manager Profiles'!$U$5:$U$12,MATCH("Noah",'Manager Profiles'!$A$5:$A$12,0)),IF(M84="WR",INDEX('Manager Profiles'!$V$5:$V$12,MATCH("Noah",'Manager Profiles'!$A$5:$A$12,0)),IF(M84="TE",INDEX('Manager Profiles'!$W$5:$W$12,MATCH("Noah",'Manager Profiles'!$A$5:$A$12,0)),0)))))</f>
        <v>4</v>
      </c>
      <c r="T84">
        <f>IF(M84="","",IF(M84="QB",INDEX('Manager Profiles'!$T$5:$T$12,MATCH($B$5,'Manager Profiles'!$A$5:$A$12,0)),IF(M84="RB",INDEX('Manager Profiles'!$U$5:$U$12,MATCH($B$5,'Manager Profiles'!$A$5:$A$12,0)),IF(M84="WR",INDEX('Manager Profiles'!$V$5:$V$12,MATCH($B$5,'Manager Profiles'!$A$5:$A$12,0)),IF(M84="TE",INDEX('Manager Profiles'!$W$5:$W$12,MATCH($B$5,'Manager Profiles'!$A$5:$A$12,0)),0)))))</f>
        <v>9</v>
      </c>
      <c r="U84">
        <f t="shared" si="26"/>
        <v>-5</v>
      </c>
      <c r="V84">
        <f t="shared" si="27"/>
        <v>0</v>
      </c>
      <c r="W84">
        <f t="shared" ca="1" si="28"/>
        <v>-9999</v>
      </c>
      <c r="X84">
        <f ca="1">IF(M84="","",IFERROR(_xludf.MINIFS($N$5:$N$164,$M$5:$M$164,M84,$N$5:$N$164,"&gt;"&amp;N84,$P$5:$P$164,"&gt;-9999"),N84+20))</f>
        <v>106</v>
      </c>
      <c r="Y84">
        <f t="shared" ca="1" si="29"/>
        <v>20</v>
      </c>
      <c r="Z84">
        <f t="shared" si="30"/>
        <v>-26</v>
      </c>
      <c r="AA84" t="str">
        <f t="shared" si="31"/>
        <v>No</v>
      </c>
      <c r="AB84" t="str">
        <f t="shared" ca="1" si="32"/>
        <v>Yes</v>
      </c>
      <c r="AC84" t="str">
        <f t="shared" si="33"/>
        <v>No</v>
      </c>
      <c r="AD84" t="str">
        <f t="shared" ca="1" si="34"/>
        <v>No</v>
      </c>
    </row>
    <row r="85" spans="12:30">
      <c r="L85" t="str">
        <f>'Player Board'!B84</f>
        <v>KC Concepcion</v>
      </c>
      <c r="M85" t="str">
        <f>'Player Board'!C84</f>
        <v>WR</v>
      </c>
      <c r="N85">
        <f>'Player Board'!H84</f>
        <v>88</v>
      </c>
      <c r="O85">
        <f>'Player Board'!Q84</f>
        <v>29</v>
      </c>
      <c r="P85">
        <f>IF(NOT(AND('Player Board'!J84="No",'Player Board'!K84="No")),-9999,(325-N85*2)+((IF(M85="QB",INDEX('Manager Profiles'!$T$5:$T$12,MATCH($B$5,'Manager Profiles'!$A$5:$A$12,0)),IF(M85="RB",INDEX('Manager Profiles'!$U$5:$U$12,MATCH($B$5,'Manager Profiles'!$A$5:$A$12,0)),IF(M85="WR",INDEX('Manager Profiles'!$V$5:$V$12,MATCH($B$5,'Manager Profiles'!$A$5:$A$12,0)),IF(M85="TE",INDEX('Manager Profiles'!$W$5:$W$12,MATCH($B$5,'Manager Profiles'!$A$5:$A$12,0)),0)))))*3)+(IF($B$6="Contender",IF('Player Board'!R84="Veteran",12,IF('Player Board'!R84="Prime",7,IF('Player Board'!R84="Young",3,-4))),IF($B$6="Rebuilder",IF('Player Board'!R84="Rookie",15,IF('Player Board'!R84="Young",10,IF('Player Board'!R84="Prime",2,-15))),IF('Player Board'!R84="Veteran",-2,IF('Player Board'!R84="Rookie",4,2)))))+MAX(-20,MIN(20,($B$4-IF(O85="",N85,O85))*2))+(IFERROR(IF(INDEX('Player Board'!$F$4:$F$163,MATCH(N85+1,'Player Board'!$H$4:$H$163,0))&gt;'Player Board'!F84,8,0),0)))</f>
        <v>142</v>
      </c>
      <c r="Q85">
        <f t="shared" si="25"/>
        <v>142.0112</v>
      </c>
      <c r="R85">
        <f>IF(AND('Draft Tracker'!D84="Noah",'Draft Tracker'!A84&gt;$B$4),'Draft Tracker'!A84,9999)</f>
        <v>9999</v>
      </c>
      <c r="S85">
        <f>IF(M85="","",IF(M85="QB",INDEX('Manager Profiles'!$T$5:$T$12,MATCH("Noah",'Manager Profiles'!$A$5:$A$12,0)),IF(M85="RB",INDEX('Manager Profiles'!$U$5:$U$12,MATCH("Noah",'Manager Profiles'!$A$5:$A$12,0)),IF(M85="WR",INDEX('Manager Profiles'!$V$5:$V$12,MATCH("Noah",'Manager Profiles'!$A$5:$A$12,0)),IF(M85="TE",INDEX('Manager Profiles'!$W$5:$W$12,MATCH("Noah",'Manager Profiles'!$A$5:$A$12,0)),0)))))</f>
        <v>1</v>
      </c>
      <c r="T85">
        <f>IF(M85="","",IF(M85="QB",INDEX('Manager Profiles'!$T$5:$T$12,MATCH($B$5,'Manager Profiles'!$A$5:$A$12,0)),IF(M85="RB",INDEX('Manager Profiles'!$U$5:$U$12,MATCH($B$5,'Manager Profiles'!$A$5:$A$12,0)),IF(M85="WR",INDEX('Manager Profiles'!$V$5:$V$12,MATCH($B$5,'Manager Profiles'!$A$5:$A$12,0)),IF(M85="TE",INDEX('Manager Profiles'!$W$5:$W$12,MATCH($B$5,'Manager Profiles'!$A$5:$A$12,0)),0)))))</f>
        <v>3</v>
      </c>
      <c r="U85">
        <f t="shared" si="26"/>
        <v>-2</v>
      </c>
      <c r="V85">
        <f t="shared" si="27"/>
        <v>0</v>
      </c>
      <c r="W85">
        <f t="shared" ca="1" si="28"/>
        <v>-9999</v>
      </c>
      <c r="X85">
        <f ca="1">IF(M85="","",IFERROR(_xludf.MINIFS($N$5:$N$164,$M$5:$M$164,M85,$N$5:$N$164,"&gt;"&amp;N85,$P$5:$P$164,"&gt;-9999"),N85+20))</f>
        <v>108</v>
      </c>
      <c r="Y85">
        <f t="shared" ca="1" si="29"/>
        <v>20</v>
      </c>
      <c r="Z85">
        <f t="shared" si="30"/>
        <v>-28</v>
      </c>
      <c r="AA85" t="str">
        <f t="shared" si="31"/>
        <v>No</v>
      </c>
      <c r="AB85" t="str">
        <f t="shared" ca="1" si="32"/>
        <v>Yes</v>
      </c>
      <c r="AC85" t="str">
        <f t="shared" si="33"/>
        <v>No</v>
      </c>
      <c r="AD85" t="str">
        <f t="shared" ca="1" si="34"/>
        <v>No</v>
      </c>
    </row>
    <row r="86" spans="12:30">
      <c r="L86" t="str">
        <f>'Player Board'!B85</f>
        <v>Josh Jacobs</v>
      </c>
      <c r="M86" t="str">
        <f>'Player Board'!C85</f>
        <v>RB</v>
      </c>
      <c r="N86">
        <f>'Player Board'!H85</f>
        <v>60</v>
      </c>
      <c r="O86">
        <f>'Player Board'!Q85</f>
        <v>10</v>
      </c>
      <c r="P86">
        <f>IF(NOT(AND('Player Board'!J85="No",'Player Board'!K85="No")),-9999,(325-N86*2)+((IF(M86="QB",INDEX('Manager Profiles'!$T$5:$T$12,MATCH($B$5,'Manager Profiles'!$A$5:$A$12,0)),IF(M86="RB",INDEX('Manager Profiles'!$U$5:$U$12,MATCH($B$5,'Manager Profiles'!$A$5:$A$12,0)),IF(M86="WR",INDEX('Manager Profiles'!$V$5:$V$12,MATCH($B$5,'Manager Profiles'!$A$5:$A$12,0)),IF(M86="TE",INDEX('Manager Profiles'!$W$5:$W$12,MATCH($B$5,'Manager Profiles'!$A$5:$A$12,0)),0)))))*3)+(IF($B$6="Contender",IF('Player Board'!R85="Veteran",12,IF('Player Board'!R85="Prime",7,IF('Player Board'!R85="Young",3,-4))),IF($B$6="Rebuilder",IF('Player Board'!R85="Rookie",15,IF('Player Board'!R85="Young",10,IF('Player Board'!R85="Prime",2,-15))),IF('Player Board'!R85="Veteran",-2,IF('Player Board'!R85="Rookie",4,2)))))+MAX(-20,MIN(20,($B$4-IF(O86="",N86,O86))*2))+(IFERROR(IF(INDEX('Player Board'!$F$4:$F$163,MATCH(N86+1,'Player Board'!$H$4:$H$163,0))&gt;'Player Board'!F85,8,0),0)))</f>
        <v>220</v>
      </c>
      <c r="Q86">
        <f t="shared" si="25"/>
        <v>220.01400000000001</v>
      </c>
      <c r="R86">
        <f>IF(AND('Draft Tracker'!D85="Noah",'Draft Tracker'!A85&gt;$B$4),'Draft Tracker'!A85,9999)</f>
        <v>9999</v>
      </c>
      <c r="S86">
        <f>IF(M86="","",IF(M86="QB",INDEX('Manager Profiles'!$T$5:$T$12,MATCH("Noah",'Manager Profiles'!$A$5:$A$12,0)),IF(M86="RB",INDEX('Manager Profiles'!$U$5:$U$12,MATCH("Noah",'Manager Profiles'!$A$5:$A$12,0)),IF(M86="WR",INDEX('Manager Profiles'!$V$5:$V$12,MATCH("Noah",'Manager Profiles'!$A$5:$A$12,0)),IF(M86="TE",INDEX('Manager Profiles'!$W$5:$W$12,MATCH("Noah",'Manager Profiles'!$A$5:$A$12,0)),0)))))</f>
        <v>4</v>
      </c>
      <c r="T86">
        <f>IF(M86="","",IF(M86="QB",INDEX('Manager Profiles'!$T$5:$T$12,MATCH($B$5,'Manager Profiles'!$A$5:$A$12,0)),IF(M86="RB",INDEX('Manager Profiles'!$U$5:$U$12,MATCH($B$5,'Manager Profiles'!$A$5:$A$12,0)),IF(M86="WR",INDEX('Manager Profiles'!$V$5:$V$12,MATCH($B$5,'Manager Profiles'!$A$5:$A$12,0)),IF(M86="TE",INDEX('Manager Profiles'!$W$5:$W$12,MATCH($B$5,'Manager Profiles'!$A$5:$A$12,0)),0)))))</f>
        <v>9</v>
      </c>
      <c r="U86">
        <f t="shared" si="26"/>
        <v>-5</v>
      </c>
      <c r="V86">
        <f t="shared" si="27"/>
        <v>3</v>
      </c>
      <c r="W86">
        <f t="shared" ca="1" si="28"/>
        <v>-9999</v>
      </c>
      <c r="X86">
        <f ca="1">IF(M86="","",IFERROR(_xludf.MINIFS($N$5:$N$164,$M$5:$M$164,M86,$N$5:$N$164,"&gt;"&amp;N86,$P$5:$P$164,"&gt;-9999"),N86+20))</f>
        <v>80</v>
      </c>
      <c r="Y86">
        <f t="shared" ca="1" si="29"/>
        <v>20</v>
      </c>
      <c r="Z86">
        <f t="shared" si="30"/>
        <v>-9</v>
      </c>
      <c r="AA86" t="str">
        <f t="shared" si="31"/>
        <v>No</v>
      </c>
      <c r="AB86" t="str">
        <f t="shared" ca="1" si="32"/>
        <v>Yes</v>
      </c>
      <c r="AC86" t="str">
        <f t="shared" si="33"/>
        <v>No</v>
      </c>
      <c r="AD86" t="str">
        <f t="shared" ca="1" si="34"/>
        <v>No</v>
      </c>
    </row>
    <row r="87" spans="12:30">
      <c r="L87" t="str">
        <f>'Player Board'!B86</f>
        <v>Bhayshul Tuten</v>
      </c>
      <c r="M87" t="str">
        <f>'Player Board'!C86</f>
        <v>RB</v>
      </c>
      <c r="N87">
        <f>'Player Board'!H86</f>
        <v>89</v>
      </c>
      <c r="O87" t="str">
        <f>'Player Board'!Q86</f>
        <v/>
      </c>
      <c r="P87">
        <f>IF(NOT(AND('Player Board'!J86="No",'Player Board'!K86="No")),-9999,(325-N87*2)+((IF(M87="QB",INDEX('Manager Profiles'!$T$5:$T$12,MATCH($B$5,'Manager Profiles'!$A$5:$A$12,0)),IF(M87="RB",INDEX('Manager Profiles'!$U$5:$U$12,MATCH($B$5,'Manager Profiles'!$A$5:$A$12,0)),IF(M87="WR",INDEX('Manager Profiles'!$V$5:$V$12,MATCH($B$5,'Manager Profiles'!$A$5:$A$12,0)),IF(M87="TE",INDEX('Manager Profiles'!$W$5:$W$12,MATCH($B$5,'Manager Profiles'!$A$5:$A$12,0)),0)))))*3)+(IF($B$6="Contender",IF('Player Board'!R86="Veteran",12,IF('Player Board'!R86="Prime",7,IF('Player Board'!R86="Young",3,-4))),IF($B$6="Rebuilder",IF('Player Board'!R86="Rookie",15,IF('Player Board'!R86="Young",10,IF('Player Board'!R86="Prime",2,-15))),IF('Player Board'!R86="Veteran",-2,IF('Player Board'!R86="Rookie",4,2)))))+MAX(-20,MIN(20,($B$4-IF(O87="",N87,O87))*2))+(IFERROR(IF(INDEX('Player Board'!$F$4:$F$163,MATCH(N87+1,'Player Board'!$H$4:$H$163,0))&gt;'Player Board'!F86,8,0),0)))</f>
        <v>-9999</v>
      </c>
      <c r="Q87">
        <f t="shared" si="25"/>
        <v>-9998.9889000000003</v>
      </c>
      <c r="R87">
        <f>IF(AND('Draft Tracker'!D86="Noah",'Draft Tracker'!A86&gt;$B$4),'Draft Tracker'!A86,9999)</f>
        <v>9999</v>
      </c>
      <c r="S87">
        <f>IF(M87="","",IF(M87="QB",INDEX('Manager Profiles'!$T$5:$T$12,MATCH("Noah",'Manager Profiles'!$A$5:$A$12,0)),IF(M87="RB",INDEX('Manager Profiles'!$U$5:$U$12,MATCH("Noah",'Manager Profiles'!$A$5:$A$12,0)),IF(M87="WR",INDEX('Manager Profiles'!$V$5:$V$12,MATCH("Noah",'Manager Profiles'!$A$5:$A$12,0)),IF(M87="TE",INDEX('Manager Profiles'!$W$5:$W$12,MATCH("Noah",'Manager Profiles'!$A$5:$A$12,0)),0)))))</f>
        <v>4</v>
      </c>
      <c r="T87">
        <f>IF(M87="","",IF(M87="QB",INDEX('Manager Profiles'!$T$5:$T$12,MATCH($B$5,'Manager Profiles'!$A$5:$A$12,0)),IF(M87="RB",INDEX('Manager Profiles'!$U$5:$U$12,MATCH($B$5,'Manager Profiles'!$A$5:$A$12,0)),IF(M87="WR",INDEX('Manager Profiles'!$V$5:$V$12,MATCH($B$5,'Manager Profiles'!$A$5:$A$12,0)),IF(M87="TE",INDEX('Manager Profiles'!$W$5:$W$12,MATCH($B$5,'Manager Profiles'!$A$5:$A$12,0)),0)))))</f>
        <v>9</v>
      </c>
      <c r="U87">
        <f t="shared" si="26"/>
        <v>-5</v>
      </c>
      <c r="V87" t="str">
        <f t="shared" si="27"/>
        <v/>
      </c>
      <c r="W87">
        <f t="shared" ca="1" si="28"/>
        <v>-9999</v>
      </c>
      <c r="X87">
        <f ca="1">IF(M87="","",IFERROR(_xludf.MINIFS($N$5:$N$164,$M$5:$M$164,M87,$N$5:$N$164,"&gt;"&amp;N87,$P$5:$P$164,"&gt;-9999"),N87+20))</f>
        <v>109</v>
      </c>
      <c r="Y87">
        <f t="shared" ca="1" si="29"/>
        <v>20</v>
      </c>
      <c r="Z87" t="str">
        <f t="shared" si="30"/>
        <v/>
      </c>
      <c r="AA87" t="str">
        <f t="shared" si="31"/>
        <v>Yes</v>
      </c>
      <c r="AB87" t="str">
        <f t="shared" ca="1" si="32"/>
        <v>Yes</v>
      </c>
      <c r="AC87" t="str">
        <f t="shared" si="33"/>
        <v>Yes</v>
      </c>
      <c r="AD87" t="str">
        <f t="shared" ca="1" si="34"/>
        <v>No</v>
      </c>
    </row>
    <row r="88" spans="12:30">
      <c r="L88" t="str">
        <f>'Player Board'!B87</f>
        <v>Derrick Henry</v>
      </c>
      <c r="M88" t="str">
        <f>'Player Board'!C87</f>
        <v>RB</v>
      </c>
      <c r="N88">
        <f>'Player Board'!H87</f>
        <v>61</v>
      </c>
      <c r="O88" t="str">
        <f>'Player Board'!Q87</f>
        <v/>
      </c>
      <c r="P88">
        <f>IF(NOT(AND('Player Board'!J87="No",'Player Board'!K87="No")),-9999,(325-N88*2)+((IF(M88="QB",INDEX('Manager Profiles'!$T$5:$T$12,MATCH($B$5,'Manager Profiles'!$A$5:$A$12,0)),IF(M88="RB",INDEX('Manager Profiles'!$U$5:$U$12,MATCH($B$5,'Manager Profiles'!$A$5:$A$12,0)),IF(M88="WR",INDEX('Manager Profiles'!$V$5:$V$12,MATCH($B$5,'Manager Profiles'!$A$5:$A$12,0)),IF(M88="TE",INDEX('Manager Profiles'!$W$5:$W$12,MATCH($B$5,'Manager Profiles'!$A$5:$A$12,0)),0)))))*3)+(IF($B$6="Contender",IF('Player Board'!R87="Veteran",12,IF('Player Board'!R87="Prime",7,IF('Player Board'!R87="Young",3,-4))),IF($B$6="Rebuilder",IF('Player Board'!R87="Rookie",15,IF('Player Board'!R87="Young",10,IF('Player Board'!R87="Prime",2,-15))),IF('Player Board'!R87="Veteran",-2,IF('Player Board'!R87="Rookie",4,2)))))+MAX(-20,MIN(20,($B$4-IF(O88="",N88,O88))*2))+(IFERROR(IF(INDEX('Player Board'!$F$4:$F$163,MATCH(N88+1,'Player Board'!$H$4:$H$163,0))&gt;'Player Board'!F87,8,0),0)))</f>
        <v>-9999</v>
      </c>
      <c r="Q88">
        <f t="shared" si="25"/>
        <v>-9998.9861000000001</v>
      </c>
      <c r="R88">
        <f>IF(AND('Draft Tracker'!D87="Noah",'Draft Tracker'!A87&gt;$B$4),'Draft Tracker'!A87,9999)</f>
        <v>9999</v>
      </c>
      <c r="S88">
        <f>IF(M88="","",IF(M88="QB",INDEX('Manager Profiles'!$T$5:$T$12,MATCH("Noah",'Manager Profiles'!$A$5:$A$12,0)),IF(M88="RB",INDEX('Manager Profiles'!$U$5:$U$12,MATCH("Noah",'Manager Profiles'!$A$5:$A$12,0)),IF(M88="WR",INDEX('Manager Profiles'!$V$5:$V$12,MATCH("Noah",'Manager Profiles'!$A$5:$A$12,0)),IF(M88="TE",INDEX('Manager Profiles'!$W$5:$W$12,MATCH("Noah",'Manager Profiles'!$A$5:$A$12,0)),0)))))</f>
        <v>4</v>
      </c>
      <c r="T88">
        <f>IF(M88="","",IF(M88="QB",INDEX('Manager Profiles'!$T$5:$T$12,MATCH($B$5,'Manager Profiles'!$A$5:$A$12,0)),IF(M88="RB",INDEX('Manager Profiles'!$U$5:$U$12,MATCH($B$5,'Manager Profiles'!$A$5:$A$12,0)),IF(M88="WR",INDEX('Manager Profiles'!$V$5:$V$12,MATCH($B$5,'Manager Profiles'!$A$5:$A$12,0)),IF(M88="TE",INDEX('Manager Profiles'!$W$5:$W$12,MATCH($B$5,'Manager Profiles'!$A$5:$A$12,0)),0)))))</f>
        <v>9</v>
      </c>
      <c r="U88">
        <f t="shared" si="26"/>
        <v>-5</v>
      </c>
      <c r="V88" t="str">
        <f t="shared" si="27"/>
        <v/>
      </c>
      <c r="W88">
        <f t="shared" ca="1" si="28"/>
        <v>-9999</v>
      </c>
      <c r="X88">
        <f ca="1">IF(M88="","",IFERROR(_xludf.MINIFS($N$5:$N$164,$M$5:$M$164,M88,$N$5:$N$164,"&gt;"&amp;N88,$P$5:$P$164,"&gt;-9999"),N88+20))</f>
        <v>81</v>
      </c>
      <c r="Y88">
        <f t="shared" ca="1" si="29"/>
        <v>20</v>
      </c>
      <c r="Z88" t="str">
        <f t="shared" si="30"/>
        <v/>
      </c>
      <c r="AA88" t="str">
        <f t="shared" si="31"/>
        <v>Yes</v>
      </c>
      <c r="AB88" t="str">
        <f t="shared" ca="1" si="32"/>
        <v>Yes</v>
      </c>
      <c r="AC88" t="str">
        <f t="shared" si="33"/>
        <v>Yes</v>
      </c>
      <c r="AD88" t="str">
        <f t="shared" ca="1" si="34"/>
        <v>No</v>
      </c>
    </row>
    <row r="89" spans="12:30">
      <c r="L89" t="str">
        <f>'Player Board'!B88</f>
        <v>Kenyon Sadiq</v>
      </c>
      <c r="M89" t="str">
        <f>'Player Board'!C88</f>
        <v>TE</v>
      </c>
      <c r="N89">
        <f>'Player Board'!H88</f>
        <v>110</v>
      </c>
      <c r="O89">
        <f>'Player Board'!Q88</f>
        <v>49</v>
      </c>
      <c r="P89">
        <f>IF(NOT(AND('Player Board'!J88="No",'Player Board'!K88="No")),-9999,(325-N89*2)+((IF(M89="QB",INDEX('Manager Profiles'!$T$5:$T$12,MATCH($B$5,'Manager Profiles'!$A$5:$A$12,0)),IF(M89="RB",INDEX('Manager Profiles'!$U$5:$U$12,MATCH($B$5,'Manager Profiles'!$A$5:$A$12,0)),IF(M89="WR",INDEX('Manager Profiles'!$V$5:$V$12,MATCH($B$5,'Manager Profiles'!$A$5:$A$12,0)),IF(M89="TE",INDEX('Manager Profiles'!$W$5:$W$12,MATCH($B$5,'Manager Profiles'!$A$5:$A$12,0)),0)))))*3)+(IF($B$6="Contender",IF('Player Board'!R88="Veteran",12,IF('Player Board'!R88="Prime",7,IF('Player Board'!R88="Young",3,-4))),IF($B$6="Rebuilder",IF('Player Board'!R88="Rookie",15,IF('Player Board'!R88="Young",10,IF('Player Board'!R88="Prime",2,-15))),IF('Player Board'!R88="Veteran",-2,IF('Player Board'!R88="Rookie",4,2)))))+MAX(-20,MIN(20,($B$4-IF(O89="",N89,O89))*2))+(IFERROR(IF(INDEX('Player Board'!$F$4:$F$163,MATCH(N89+1,'Player Board'!$H$4:$H$163,0))&gt;'Player Board'!F88,8,0),0)))</f>
        <v>98</v>
      </c>
      <c r="Q89">
        <f t="shared" si="25"/>
        <v>98.009</v>
      </c>
      <c r="R89">
        <f>IF(AND('Draft Tracker'!D88="Noah",'Draft Tracker'!A88&gt;$B$4),'Draft Tracker'!A88,9999)</f>
        <v>85</v>
      </c>
      <c r="S89">
        <f>IF(M89="","",IF(M89="QB",INDEX('Manager Profiles'!$T$5:$T$12,MATCH("Noah",'Manager Profiles'!$A$5:$A$12,0)),IF(M89="RB",INDEX('Manager Profiles'!$U$5:$U$12,MATCH("Noah",'Manager Profiles'!$A$5:$A$12,0)),IF(M89="WR",INDEX('Manager Profiles'!$V$5:$V$12,MATCH("Noah",'Manager Profiles'!$A$5:$A$12,0)),IF(M89="TE",INDEX('Manager Profiles'!$W$5:$W$12,MATCH("Noah",'Manager Profiles'!$A$5:$A$12,0)),0)))))</f>
        <v>7</v>
      </c>
      <c r="T89">
        <f>IF(M89="","",IF(M89="QB",INDEX('Manager Profiles'!$T$5:$T$12,MATCH($B$5,'Manager Profiles'!$A$5:$A$12,0)),IF(M89="RB",INDEX('Manager Profiles'!$U$5:$U$12,MATCH($B$5,'Manager Profiles'!$A$5:$A$12,0)),IF(M89="WR",INDEX('Manager Profiles'!$V$5:$V$12,MATCH($B$5,'Manager Profiles'!$A$5:$A$12,0)),IF(M89="TE",INDEX('Manager Profiles'!$W$5:$W$12,MATCH($B$5,'Manager Profiles'!$A$5:$A$12,0)),0)))))</f>
        <v>3</v>
      </c>
      <c r="U89">
        <f t="shared" si="26"/>
        <v>4</v>
      </c>
      <c r="V89">
        <f t="shared" si="27"/>
        <v>0</v>
      </c>
      <c r="W89">
        <f t="shared" ca="1" si="28"/>
        <v>-9999</v>
      </c>
      <c r="X89">
        <f ca="1">IF(M89="","",IFERROR(_xludf.MINIFS($N$5:$N$164,$M$5:$M$164,M89,$N$5:$N$164,"&gt;"&amp;N89,$P$5:$P$164,"&gt;-9999"),N89+20))</f>
        <v>130</v>
      </c>
      <c r="Y89">
        <f t="shared" ca="1" si="29"/>
        <v>20</v>
      </c>
      <c r="Z89">
        <f t="shared" si="30"/>
        <v>-48</v>
      </c>
      <c r="AA89" t="str">
        <f t="shared" si="31"/>
        <v>No</v>
      </c>
      <c r="AB89" t="str">
        <f t="shared" ca="1" si="32"/>
        <v>Yes</v>
      </c>
      <c r="AC89" t="str">
        <f t="shared" si="33"/>
        <v>No</v>
      </c>
      <c r="AD89" t="str">
        <f t="shared" ca="1" si="34"/>
        <v>No</v>
      </c>
    </row>
    <row r="90" spans="12:30">
      <c r="L90" t="str">
        <f>'Player Board'!B89</f>
        <v>Christian Watson</v>
      </c>
      <c r="M90" t="str">
        <f>'Player Board'!C89</f>
        <v>WR</v>
      </c>
      <c r="N90">
        <f>'Player Board'!H89</f>
        <v>90</v>
      </c>
      <c r="O90">
        <f>'Player Board'!Q89</f>
        <v>30</v>
      </c>
      <c r="P90">
        <f>IF(NOT(AND('Player Board'!J89="No",'Player Board'!K89="No")),-9999,(325-N90*2)+((IF(M90="QB",INDEX('Manager Profiles'!$T$5:$T$12,MATCH($B$5,'Manager Profiles'!$A$5:$A$12,0)),IF(M90="RB",INDEX('Manager Profiles'!$U$5:$U$12,MATCH($B$5,'Manager Profiles'!$A$5:$A$12,0)),IF(M90="WR",INDEX('Manager Profiles'!$V$5:$V$12,MATCH($B$5,'Manager Profiles'!$A$5:$A$12,0)),IF(M90="TE",INDEX('Manager Profiles'!$W$5:$W$12,MATCH($B$5,'Manager Profiles'!$A$5:$A$12,0)),0)))))*3)+(IF($B$6="Contender",IF('Player Board'!R89="Veteran",12,IF('Player Board'!R89="Prime",7,IF('Player Board'!R89="Young",3,-4))),IF($B$6="Rebuilder",IF('Player Board'!R89="Rookie",15,IF('Player Board'!R89="Young",10,IF('Player Board'!R89="Prime",2,-15))),IF('Player Board'!R89="Veteran",-2,IF('Player Board'!R89="Rookie",4,2)))))+MAX(-20,MIN(20,($B$4-IF(O90="",N90,O90))*2))+(IFERROR(IF(INDEX('Player Board'!$F$4:$F$163,MATCH(N90+1,'Player Board'!$H$4:$H$163,0))&gt;'Player Board'!F89,8,0),0)))</f>
        <v>136</v>
      </c>
      <c r="Q90">
        <f t="shared" si="25"/>
        <v>136.011</v>
      </c>
      <c r="R90">
        <f>IF(AND('Draft Tracker'!D89="Noah",'Draft Tracker'!A89&gt;$B$4),'Draft Tracker'!A89,9999)</f>
        <v>9999</v>
      </c>
      <c r="S90">
        <f>IF(M90="","",IF(M90="QB",INDEX('Manager Profiles'!$T$5:$T$12,MATCH("Noah",'Manager Profiles'!$A$5:$A$12,0)),IF(M90="RB",INDEX('Manager Profiles'!$U$5:$U$12,MATCH("Noah",'Manager Profiles'!$A$5:$A$12,0)),IF(M90="WR",INDEX('Manager Profiles'!$V$5:$V$12,MATCH("Noah",'Manager Profiles'!$A$5:$A$12,0)),IF(M90="TE",INDEX('Manager Profiles'!$W$5:$W$12,MATCH("Noah",'Manager Profiles'!$A$5:$A$12,0)),0)))))</f>
        <v>1</v>
      </c>
      <c r="T90">
        <f>IF(M90="","",IF(M90="QB",INDEX('Manager Profiles'!$T$5:$T$12,MATCH($B$5,'Manager Profiles'!$A$5:$A$12,0)),IF(M90="RB",INDEX('Manager Profiles'!$U$5:$U$12,MATCH($B$5,'Manager Profiles'!$A$5:$A$12,0)),IF(M90="WR",INDEX('Manager Profiles'!$V$5:$V$12,MATCH($B$5,'Manager Profiles'!$A$5:$A$12,0)),IF(M90="TE",INDEX('Manager Profiles'!$W$5:$W$12,MATCH($B$5,'Manager Profiles'!$A$5:$A$12,0)),0)))))</f>
        <v>3</v>
      </c>
      <c r="U90">
        <f t="shared" si="26"/>
        <v>-2</v>
      </c>
      <c r="V90">
        <f t="shared" si="27"/>
        <v>0</v>
      </c>
      <c r="W90">
        <f t="shared" ca="1" si="28"/>
        <v>-9999</v>
      </c>
      <c r="X90">
        <f ca="1">IF(M90="","",IFERROR(_xludf.MINIFS($N$5:$N$164,$M$5:$M$164,M90,$N$5:$N$164,"&gt;"&amp;N90,$P$5:$P$164,"&gt;-9999"),N90+20))</f>
        <v>110</v>
      </c>
      <c r="Y90">
        <f t="shared" ca="1" si="29"/>
        <v>20</v>
      </c>
      <c r="Z90">
        <f t="shared" si="30"/>
        <v>-29</v>
      </c>
      <c r="AA90" t="str">
        <f t="shared" si="31"/>
        <v>No</v>
      </c>
      <c r="AB90" t="str">
        <f t="shared" ca="1" si="32"/>
        <v>Yes</v>
      </c>
      <c r="AC90" t="str">
        <f t="shared" si="33"/>
        <v>No</v>
      </c>
      <c r="AD90" t="str">
        <f t="shared" ca="1" si="34"/>
        <v>No</v>
      </c>
    </row>
    <row r="91" spans="12:30">
      <c r="L91" t="str">
        <f>'Player Board'!B90</f>
        <v>Bryce Young</v>
      </c>
      <c r="M91" t="str">
        <f>'Player Board'!C90</f>
        <v>QB</v>
      </c>
      <c r="N91">
        <f>'Player Board'!H90</f>
        <v>91</v>
      </c>
      <c r="O91">
        <f>'Player Board'!Q90</f>
        <v>31</v>
      </c>
      <c r="P91">
        <f>IF(NOT(AND('Player Board'!J90="No",'Player Board'!K90="No")),-9999,(325-N91*2)+((IF(M91="QB",INDEX('Manager Profiles'!$T$5:$T$12,MATCH($B$5,'Manager Profiles'!$A$5:$A$12,0)),IF(M91="RB",INDEX('Manager Profiles'!$U$5:$U$12,MATCH($B$5,'Manager Profiles'!$A$5:$A$12,0)),IF(M91="WR",INDEX('Manager Profiles'!$V$5:$V$12,MATCH($B$5,'Manager Profiles'!$A$5:$A$12,0)),IF(M91="TE",INDEX('Manager Profiles'!$W$5:$W$12,MATCH($B$5,'Manager Profiles'!$A$5:$A$12,0)),0)))))*3)+(IF($B$6="Contender",IF('Player Board'!R90="Veteran",12,IF('Player Board'!R90="Prime",7,IF('Player Board'!R90="Young",3,-4))),IF($B$6="Rebuilder",IF('Player Board'!R90="Rookie",15,IF('Player Board'!R90="Young",10,IF('Player Board'!R90="Prime",2,-15))),IF('Player Board'!R90="Veteran",-2,IF('Player Board'!R90="Rookie",4,2)))))+MAX(-20,MIN(20,($B$4-IF(O91="",N91,O91))*2))+(IFERROR(IF(INDEX('Player Board'!$F$4:$F$163,MATCH(N91+1,'Player Board'!$H$4:$H$163,0))&gt;'Player Board'!F90,8,0),0)))</f>
        <v>131</v>
      </c>
      <c r="Q91">
        <f t="shared" si="25"/>
        <v>131.01089999999999</v>
      </c>
      <c r="R91">
        <f>IF(AND('Draft Tracker'!D90="Noah",'Draft Tracker'!A90&gt;$B$4),'Draft Tracker'!A90,9999)</f>
        <v>9999</v>
      </c>
      <c r="S91">
        <f>IF(M91="","",IF(M91="QB",INDEX('Manager Profiles'!$T$5:$T$12,MATCH("Noah",'Manager Profiles'!$A$5:$A$12,0)),IF(M91="RB",INDEX('Manager Profiles'!$U$5:$U$12,MATCH("Noah",'Manager Profiles'!$A$5:$A$12,0)),IF(M91="WR",INDEX('Manager Profiles'!$V$5:$V$12,MATCH("Noah",'Manager Profiles'!$A$5:$A$12,0)),IF(M91="TE",INDEX('Manager Profiles'!$W$5:$W$12,MATCH("Noah",'Manager Profiles'!$A$5:$A$12,0)),0)))))</f>
        <v>9</v>
      </c>
      <c r="T91">
        <f>IF(M91="","",IF(M91="QB",INDEX('Manager Profiles'!$T$5:$T$12,MATCH($B$5,'Manager Profiles'!$A$5:$A$12,0)),IF(M91="RB",INDEX('Manager Profiles'!$U$5:$U$12,MATCH($B$5,'Manager Profiles'!$A$5:$A$12,0)),IF(M91="WR",INDEX('Manager Profiles'!$V$5:$V$12,MATCH($B$5,'Manager Profiles'!$A$5:$A$12,0)),IF(M91="TE",INDEX('Manager Profiles'!$W$5:$W$12,MATCH($B$5,'Manager Profiles'!$A$5:$A$12,0)),0)))))</f>
        <v>2</v>
      </c>
      <c r="U91">
        <f t="shared" si="26"/>
        <v>7</v>
      </c>
      <c r="V91">
        <f t="shared" si="27"/>
        <v>0</v>
      </c>
      <c r="W91">
        <f t="shared" ca="1" si="28"/>
        <v>-9999</v>
      </c>
      <c r="X91">
        <f ca="1">IF(M91="","",IFERROR(_xludf.MINIFS($N$5:$N$164,$M$5:$M$164,M91,$N$5:$N$164,"&gt;"&amp;N91,$P$5:$P$164,"&gt;-9999"),N91+20))</f>
        <v>111</v>
      </c>
      <c r="Y91">
        <f t="shared" ca="1" si="29"/>
        <v>20</v>
      </c>
      <c r="Z91">
        <f t="shared" si="30"/>
        <v>-30</v>
      </c>
      <c r="AA91" t="str">
        <f t="shared" si="31"/>
        <v>No</v>
      </c>
      <c r="AB91" t="str">
        <f t="shared" ca="1" si="32"/>
        <v>Yes</v>
      </c>
      <c r="AC91" t="str">
        <f t="shared" si="33"/>
        <v>No</v>
      </c>
      <c r="AD91" t="str">
        <f t="shared" ca="1" si="34"/>
        <v>No</v>
      </c>
    </row>
    <row r="92" spans="12:30">
      <c r="L92" t="str">
        <f>'Player Board'!B91</f>
        <v>Kyler Murray</v>
      </c>
      <c r="M92" t="str">
        <f>'Player Board'!C91</f>
        <v>QB</v>
      </c>
      <c r="N92">
        <f>'Player Board'!H91</f>
        <v>87</v>
      </c>
      <c r="O92">
        <f>'Player Board'!Q91</f>
        <v>28</v>
      </c>
      <c r="P92">
        <f>IF(NOT(AND('Player Board'!J91="No",'Player Board'!K91="No")),-9999,(325-N92*2)+((IF(M92="QB",INDEX('Manager Profiles'!$T$5:$T$12,MATCH($B$5,'Manager Profiles'!$A$5:$A$12,0)),IF(M92="RB",INDEX('Manager Profiles'!$U$5:$U$12,MATCH($B$5,'Manager Profiles'!$A$5:$A$12,0)),IF(M92="WR",INDEX('Manager Profiles'!$V$5:$V$12,MATCH($B$5,'Manager Profiles'!$A$5:$A$12,0)),IF(M92="TE",INDEX('Manager Profiles'!$W$5:$W$12,MATCH($B$5,'Manager Profiles'!$A$5:$A$12,0)),0)))))*3)+(IF($B$6="Contender",IF('Player Board'!R91="Veteran",12,IF('Player Board'!R91="Prime",7,IF('Player Board'!R91="Young",3,-4))),IF($B$6="Rebuilder",IF('Player Board'!R91="Rookie",15,IF('Player Board'!R91="Young",10,IF('Player Board'!R91="Prime",2,-15))),IF('Player Board'!R91="Veteran",-2,IF('Player Board'!R91="Rookie",4,2)))))+MAX(-20,MIN(20,($B$4-IF(O92="",N92,O92))*2))+(IFERROR(IF(INDEX('Player Board'!$F$4:$F$163,MATCH(N92+1,'Player Board'!$H$4:$H$163,0))&gt;'Player Board'!F91,8,0),0)))</f>
        <v>139</v>
      </c>
      <c r="Q92">
        <f t="shared" si="25"/>
        <v>139.01130000000001</v>
      </c>
      <c r="R92">
        <f>IF(AND('Draft Tracker'!D91="Noah",'Draft Tracker'!A91&gt;$B$4),'Draft Tracker'!A91,9999)</f>
        <v>9999</v>
      </c>
      <c r="S92">
        <f>IF(M92="","",IF(M92="QB",INDEX('Manager Profiles'!$T$5:$T$12,MATCH("Noah",'Manager Profiles'!$A$5:$A$12,0)),IF(M92="RB",INDEX('Manager Profiles'!$U$5:$U$12,MATCH("Noah",'Manager Profiles'!$A$5:$A$12,0)),IF(M92="WR",INDEX('Manager Profiles'!$V$5:$V$12,MATCH("Noah",'Manager Profiles'!$A$5:$A$12,0)),IF(M92="TE",INDEX('Manager Profiles'!$W$5:$W$12,MATCH("Noah",'Manager Profiles'!$A$5:$A$12,0)),0)))))</f>
        <v>9</v>
      </c>
      <c r="T92">
        <f>IF(M92="","",IF(M92="QB",INDEX('Manager Profiles'!$T$5:$T$12,MATCH($B$5,'Manager Profiles'!$A$5:$A$12,0)),IF(M92="RB",INDEX('Manager Profiles'!$U$5:$U$12,MATCH($B$5,'Manager Profiles'!$A$5:$A$12,0)),IF(M92="WR",INDEX('Manager Profiles'!$V$5:$V$12,MATCH($B$5,'Manager Profiles'!$A$5:$A$12,0)),IF(M92="TE",INDEX('Manager Profiles'!$W$5:$W$12,MATCH($B$5,'Manager Profiles'!$A$5:$A$12,0)),0)))))</f>
        <v>2</v>
      </c>
      <c r="U92">
        <f t="shared" si="26"/>
        <v>7</v>
      </c>
      <c r="V92">
        <f t="shared" si="27"/>
        <v>0</v>
      </c>
      <c r="W92">
        <f t="shared" ca="1" si="28"/>
        <v>-9999</v>
      </c>
      <c r="X92">
        <f ca="1">IF(M92="","",IFERROR(_xludf.MINIFS($N$5:$N$164,$M$5:$M$164,M92,$N$5:$N$164,"&gt;"&amp;N92,$P$5:$P$164,"&gt;-9999"),N92+20))</f>
        <v>107</v>
      </c>
      <c r="Y92">
        <f t="shared" ca="1" si="29"/>
        <v>20</v>
      </c>
      <c r="Z92">
        <f t="shared" si="30"/>
        <v>-27</v>
      </c>
      <c r="AA92" t="str">
        <f t="shared" si="31"/>
        <v>No</v>
      </c>
      <c r="AB92" t="str">
        <f t="shared" ca="1" si="32"/>
        <v>Yes</v>
      </c>
      <c r="AC92" t="str">
        <f t="shared" si="33"/>
        <v>No</v>
      </c>
      <c r="AD92" t="str">
        <f t="shared" ca="1" si="34"/>
        <v>No</v>
      </c>
    </row>
    <row r="93" spans="12:30">
      <c r="L93" t="str">
        <f>'Player Board'!B92</f>
        <v>Malik Willis</v>
      </c>
      <c r="M93" t="str">
        <f>'Player Board'!C92</f>
        <v>QB</v>
      </c>
      <c r="N93">
        <f>'Player Board'!H92</f>
        <v>92</v>
      </c>
      <c r="O93">
        <f>'Player Board'!Q92</f>
        <v>32</v>
      </c>
      <c r="P93">
        <f>IF(NOT(AND('Player Board'!J92="No",'Player Board'!K92="No")),-9999,(325-N93*2)+((IF(M93="QB",INDEX('Manager Profiles'!$T$5:$T$12,MATCH($B$5,'Manager Profiles'!$A$5:$A$12,0)),IF(M93="RB",INDEX('Manager Profiles'!$U$5:$U$12,MATCH($B$5,'Manager Profiles'!$A$5:$A$12,0)),IF(M93="WR",INDEX('Manager Profiles'!$V$5:$V$12,MATCH($B$5,'Manager Profiles'!$A$5:$A$12,0)),IF(M93="TE",INDEX('Manager Profiles'!$W$5:$W$12,MATCH($B$5,'Manager Profiles'!$A$5:$A$12,0)),0)))))*3)+(IF($B$6="Contender",IF('Player Board'!R92="Veteran",12,IF('Player Board'!R92="Prime",7,IF('Player Board'!R92="Young",3,-4))),IF($B$6="Rebuilder",IF('Player Board'!R92="Rookie",15,IF('Player Board'!R92="Young",10,IF('Player Board'!R92="Prime",2,-15))),IF('Player Board'!R92="Veteran",-2,IF('Player Board'!R92="Rookie",4,2)))))+MAX(-20,MIN(20,($B$4-IF(O93="",N93,O93))*2))+(IFERROR(IF(INDEX('Player Board'!$F$4:$F$163,MATCH(N93+1,'Player Board'!$H$4:$H$163,0))&gt;'Player Board'!F92,8,0),0)))</f>
        <v>129</v>
      </c>
      <c r="Q93">
        <f t="shared" si="25"/>
        <v>129.01079999999999</v>
      </c>
      <c r="R93">
        <f>IF(AND('Draft Tracker'!D92="Noah",'Draft Tracker'!A92&gt;$B$4),'Draft Tracker'!A92,9999)</f>
        <v>9999</v>
      </c>
      <c r="S93">
        <f>IF(M93="","",IF(M93="QB",INDEX('Manager Profiles'!$T$5:$T$12,MATCH("Noah",'Manager Profiles'!$A$5:$A$12,0)),IF(M93="RB",INDEX('Manager Profiles'!$U$5:$U$12,MATCH("Noah",'Manager Profiles'!$A$5:$A$12,0)),IF(M93="WR",INDEX('Manager Profiles'!$V$5:$V$12,MATCH("Noah",'Manager Profiles'!$A$5:$A$12,0)),IF(M93="TE",INDEX('Manager Profiles'!$W$5:$W$12,MATCH("Noah",'Manager Profiles'!$A$5:$A$12,0)),0)))))</f>
        <v>9</v>
      </c>
      <c r="T93">
        <f>IF(M93="","",IF(M93="QB",INDEX('Manager Profiles'!$T$5:$T$12,MATCH($B$5,'Manager Profiles'!$A$5:$A$12,0)),IF(M93="RB",INDEX('Manager Profiles'!$U$5:$U$12,MATCH($B$5,'Manager Profiles'!$A$5:$A$12,0)),IF(M93="WR",INDEX('Manager Profiles'!$V$5:$V$12,MATCH($B$5,'Manager Profiles'!$A$5:$A$12,0)),IF(M93="TE",INDEX('Manager Profiles'!$W$5:$W$12,MATCH($B$5,'Manager Profiles'!$A$5:$A$12,0)),0)))))</f>
        <v>2</v>
      </c>
      <c r="U93">
        <f t="shared" si="26"/>
        <v>7</v>
      </c>
      <c r="V93">
        <f t="shared" si="27"/>
        <v>0</v>
      </c>
      <c r="W93">
        <f t="shared" ca="1" si="28"/>
        <v>-9999</v>
      </c>
      <c r="X93">
        <f ca="1">IF(M93="","",IFERROR(_xludf.MINIFS($N$5:$N$164,$M$5:$M$164,M93,$N$5:$N$164,"&gt;"&amp;N93,$P$5:$P$164,"&gt;-9999"),N93+20))</f>
        <v>112</v>
      </c>
      <c r="Y93">
        <f t="shared" ca="1" si="29"/>
        <v>20</v>
      </c>
      <c r="Z93">
        <f t="shared" si="30"/>
        <v>-31</v>
      </c>
      <c r="AA93" t="str">
        <f t="shared" si="31"/>
        <v>No</v>
      </c>
      <c r="AB93" t="str">
        <f t="shared" ca="1" si="32"/>
        <v>Yes</v>
      </c>
      <c r="AC93" t="str">
        <f t="shared" si="33"/>
        <v>No</v>
      </c>
      <c r="AD93" t="str">
        <f t="shared" ca="1" si="34"/>
        <v>No</v>
      </c>
    </row>
    <row r="94" spans="12:30">
      <c r="L94" t="str">
        <f>'Player Board'!B93</f>
        <v>Alec Pierce</v>
      </c>
      <c r="M94" t="str">
        <f>'Player Board'!C93</f>
        <v>WR</v>
      </c>
      <c r="N94">
        <f>'Player Board'!H93</f>
        <v>93</v>
      </c>
      <c r="O94">
        <f>'Player Board'!Q93</f>
        <v>33</v>
      </c>
      <c r="P94">
        <f>IF(NOT(AND('Player Board'!J93="No",'Player Board'!K93="No")),-9999,(325-N94*2)+((IF(M94="QB",INDEX('Manager Profiles'!$T$5:$T$12,MATCH($B$5,'Manager Profiles'!$A$5:$A$12,0)),IF(M94="RB",INDEX('Manager Profiles'!$U$5:$U$12,MATCH($B$5,'Manager Profiles'!$A$5:$A$12,0)),IF(M94="WR",INDEX('Manager Profiles'!$V$5:$V$12,MATCH($B$5,'Manager Profiles'!$A$5:$A$12,0)),IF(M94="TE",INDEX('Manager Profiles'!$W$5:$W$12,MATCH($B$5,'Manager Profiles'!$A$5:$A$12,0)),0)))))*3)+(IF($B$6="Contender",IF('Player Board'!R93="Veteran",12,IF('Player Board'!R93="Prime",7,IF('Player Board'!R93="Young",3,-4))),IF($B$6="Rebuilder",IF('Player Board'!R93="Rookie",15,IF('Player Board'!R93="Young",10,IF('Player Board'!R93="Prime",2,-15))),IF('Player Board'!R93="Veteran",-2,IF('Player Board'!R93="Rookie",4,2)))))+MAX(-20,MIN(20,($B$4-IF(O94="",N94,O94))*2))+(IFERROR(IF(INDEX('Player Board'!$F$4:$F$163,MATCH(N94+1,'Player Board'!$H$4:$H$163,0))&gt;'Player Board'!F93,8,0),0)))</f>
        <v>130</v>
      </c>
      <c r="Q94">
        <f t="shared" si="25"/>
        <v>130.01070000000001</v>
      </c>
      <c r="R94">
        <f>IF(AND('Draft Tracker'!D93="Noah",'Draft Tracker'!A93&gt;$B$4),'Draft Tracker'!A93,9999)</f>
        <v>9999</v>
      </c>
      <c r="S94">
        <f>IF(M94="","",IF(M94="QB",INDEX('Manager Profiles'!$T$5:$T$12,MATCH("Noah",'Manager Profiles'!$A$5:$A$12,0)),IF(M94="RB",INDEX('Manager Profiles'!$U$5:$U$12,MATCH("Noah",'Manager Profiles'!$A$5:$A$12,0)),IF(M94="WR",INDEX('Manager Profiles'!$V$5:$V$12,MATCH("Noah",'Manager Profiles'!$A$5:$A$12,0)),IF(M94="TE",INDEX('Manager Profiles'!$W$5:$W$12,MATCH("Noah",'Manager Profiles'!$A$5:$A$12,0)),0)))))</f>
        <v>1</v>
      </c>
      <c r="T94">
        <f>IF(M94="","",IF(M94="QB",INDEX('Manager Profiles'!$T$5:$T$12,MATCH($B$5,'Manager Profiles'!$A$5:$A$12,0)),IF(M94="RB",INDEX('Manager Profiles'!$U$5:$U$12,MATCH($B$5,'Manager Profiles'!$A$5:$A$12,0)),IF(M94="WR",INDEX('Manager Profiles'!$V$5:$V$12,MATCH($B$5,'Manager Profiles'!$A$5:$A$12,0)),IF(M94="TE",INDEX('Manager Profiles'!$W$5:$W$12,MATCH($B$5,'Manager Profiles'!$A$5:$A$12,0)),0)))))</f>
        <v>3</v>
      </c>
      <c r="U94">
        <f t="shared" si="26"/>
        <v>-2</v>
      </c>
      <c r="V94">
        <f t="shared" si="27"/>
        <v>0</v>
      </c>
      <c r="W94">
        <f t="shared" ca="1" si="28"/>
        <v>-9999</v>
      </c>
      <c r="X94">
        <f ca="1">IF(M94="","",IFERROR(_xludf.MINIFS($N$5:$N$164,$M$5:$M$164,M94,$N$5:$N$164,"&gt;"&amp;N94,$P$5:$P$164,"&gt;-9999"),N94+20))</f>
        <v>113</v>
      </c>
      <c r="Y94">
        <f t="shared" ca="1" si="29"/>
        <v>20</v>
      </c>
      <c r="Z94">
        <f t="shared" si="30"/>
        <v>-32</v>
      </c>
      <c r="AA94" t="str">
        <f t="shared" si="31"/>
        <v>No</v>
      </c>
      <c r="AB94" t="str">
        <f t="shared" ca="1" si="32"/>
        <v>Yes</v>
      </c>
      <c r="AC94" t="str">
        <f t="shared" si="33"/>
        <v>No</v>
      </c>
      <c r="AD94" t="str">
        <f t="shared" ca="1" si="34"/>
        <v>No</v>
      </c>
    </row>
    <row r="95" spans="12:30">
      <c r="L95" t="str">
        <f>'Player Board'!B94</f>
        <v>Matthew Stafford</v>
      </c>
      <c r="M95" t="str">
        <f>'Player Board'!C94</f>
        <v>QB</v>
      </c>
      <c r="N95">
        <f>'Player Board'!H94</f>
        <v>94</v>
      </c>
      <c r="O95">
        <f>'Player Board'!Q94</f>
        <v>34</v>
      </c>
      <c r="P95">
        <f>IF(NOT(AND('Player Board'!J94="No",'Player Board'!K94="No")),-9999,(325-N95*2)+((IF(M95="QB",INDEX('Manager Profiles'!$T$5:$T$12,MATCH($B$5,'Manager Profiles'!$A$5:$A$12,0)),IF(M95="RB",INDEX('Manager Profiles'!$U$5:$U$12,MATCH($B$5,'Manager Profiles'!$A$5:$A$12,0)),IF(M95="WR",INDEX('Manager Profiles'!$V$5:$V$12,MATCH($B$5,'Manager Profiles'!$A$5:$A$12,0)),IF(M95="TE",INDEX('Manager Profiles'!$W$5:$W$12,MATCH($B$5,'Manager Profiles'!$A$5:$A$12,0)),0)))))*3)+(IF($B$6="Contender",IF('Player Board'!R94="Veteran",12,IF('Player Board'!R94="Prime",7,IF('Player Board'!R94="Young",3,-4))),IF($B$6="Rebuilder",IF('Player Board'!R94="Rookie",15,IF('Player Board'!R94="Young",10,IF('Player Board'!R94="Prime",2,-15))),IF('Player Board'!R94="Veteran",-2,IF('Player Board'!R94="Rookie",4,2)))))+MAX(-20,MIN(20,($B$4-IF(O95="",N95,O95))*2))+(IFERROR(IF(INDEX('Player Board'!$F$4:$F$163,MATCH(N95+1,'Player Board'!$H$4:$H$163,0))&gt;'Player Board'!F94,8,0),0)))</f>
        <v>121</v>
      </c>
      <c r="Q95">
        <f t="shared" si="25"/>
        <v>121.0106</v>
      </c>
      <c r="R95">
        <f>IF(AND('Draft Tracker'!D94="Noah",'Draft Tracker'!A94&gt;$B$4),'Draft Tracker'!A94,9999)</f>
        <v>9999</v>
      </c>
      <c r="S95">
        <f>IF(M95="","",IF(M95="QB",INDEX('Manager Profiles'!$T$5:$T$12,MATCH("Noah",'Manager Profiles'!$A$5:$A$12,0)),IF(M95="RB",INDEX('Manager Profiles'!$U$5:$U$12,MATCH("Noah",'Manager Profiles'!$A$5:$A$12,0)),IF(M95="WR",INDEX('Manager Profiles'!$V$5:$V$12,MATCH("Noah",'Manager Profiles'!$A$5:$A$12,0)),IF(M95="TE",INDEX('Manager Profiles'!$W$5:$W$12,MATCH("Noah",'Manager Profiles'!$A$5:$A$12,0)),0)))))</f>
        <v>9</v>
      </c>
      <c r="T95">
        <f>IF(M95="","",IF(M95="QB",INDEX('Manager Profiles'!$T$5:$T$12,MATCH($B$5,'Manager Profiles'!$A$5:$A$12,0)),IF(M95="RB",INDEX('Manager Profiles'!$U$5:$U$12,MATCH($B$5,'Manager Profiles'!$A$5:$A$12,0)),IF(M95="WR",INDEX('Manager Profiles'!$V$5:$V$12,MATCH($B$5,'Manager Profiles'!$A$5:$A$12,0)),IF(M95="TE",INDEX('Manager Profiles'!$W$5:$W$12,MATCH($B$5,'Manager Profiles'!$A$5:$A$12,0)),0)))))</f>
        <v>2</v>
      </c>
      <c r="U95">
        <f t="shared" si="26"/>
        <v>7</v>
      </c>
      <c r="V95">
        <f t="shared" si="27"/>
        <v>0</v>
      </c>
      <c r="W95">
        <f t="shared" ca="1" si="28"/>
        <v>-9999</v>
      </c>
      <c r="X95">
        <f ca="1">IF(M95="","",IFERROR(_xludf.MINIFS($N$5:$N$164,$M$5:$M$164,M95,$N$5:$N$164,"&gt;"&amp;N95,$P$5:$P$164,"&gt;-9999"),N95+20))</f>
        <v>114</v>
      </c>
      <c r="Y95">
        <f t="shared" ca="1" si="29"/>
        <v>20</v>
      </c>
      <c r="Z95">
        <f t="shared" si="30"/>
        <v>-33</v>
      </c>
      <c r="AA95" t="str">
        <f t="shared" si="31"/>
        <v>No</v>
      </c>
      <c r="AB95" t="str">
        <f t="shared" ca="1" si="32"/>
        <v>Yes</v>
      </c>
      <c r="AC95" t="str">
        <f t="shared" si="33"/>
        <v>No</v>
      </c>
      <c r="AD95" t="str">
        <f t="shared" ca="1" si="34"/>
        <v>No</v>
      </c>
    </row>
    <row r="96" spans="12:30">
      <c r="L96" t="str">
        <f>'Player Board'!B95</f>
        <v>Jordan Addison</v>
      </c>
      <c r="M96" t="str">
        <f>'Player Board'!C95</f>
        <v>WR</v>
      </c>
      <c r="N96">
        <f>'Player Board'!H95</f>
        <v>95</v>
      </c>
      <c r="O96">
        <f>'Player Board'!Q95</f>
        <v>35</v>
      </c>
      <c r="P96">
        <f>IF(NOT(AND('Player Board'!J95="No",'Player Board'!K95="No")),-9999,(325-N96*2)+((IF(M96="QB",INDEX('Manager Profiles'!$T$5:$T$12,MATCH($B$5,'Manager Profiles'!$A$5:$A$12,0)),IF(M96="RB",INDEX('Manager Profiles'!$U$5:$U$12,MATCH($B$5,'Manager Profiles'!$A$5:$A$12,0)),IF(M96="WR",INDEX('Manager Profiles'!$V$5:$V$12,MATCH($B$5,'Manager Profiles'!$A$5:$A$12,0)),IF(M96="TE",INDEX('Manager Profiles'!$W$5:$W$12,MATCH($B$5,'Manager Profiles'!$A$5:$A$12,0)),0)))))*3)+(IF($B$6="Contender",IF('Player Board'!R95="Veteran",12,IF('Player Board'!R95="Prime",7,IF('Player Board'!R95="Young",3,-4))),IF($B$6="Rebuilder",IF('Player Board'!R95="Rookie",15,IF('Player Board'!R95="Young",10,IF('Player Board'!R95="Prime",2,-15))),IF('Player Board'!R95="Veteran",-2,IF('Player Board'!R95="Rookie",4,2)))))+MAX(-20,MIN(20,($B$4-IF(O96="",N96,O96))*2))+(IFERROR(IF(INDEX('Player Board'!$F$4:$F$163,MATCH(N96+1,'Player Board'!$H$4:$H$163,0))&gt;'Player Board'!F95,8,0),0)))</f>
        <v>126</v>
      </c>
      <c r="Q96">
        <f t="shared" si="25"/>
        <v>126.01049999999999</v>
      </c>
      <c r="R96">
        <f>IF(AND('Draft Tracker'!D95="Noah",'Draft Tracker'!A95&gt;$B$4),'Draft Tracker'!A95,9999)</f>
        <v>9999</v>
      </c>
      <c r="S96">
        <f>IF(M96="","",IF(M96="QB",INDEX('Manager Profiles'!$T$5:$T$12,MATCH("Noah",'Manager Profiles'!$A$5:$A$12,0)),IF(M96="RB",INDEX('Manager Profiles'!$U$5:$U$12,MATCH("Noah",'Manager Profiles'!$A$5:$A$12,0)),IF(M96="WR",INDEX('Manager Profiles'!$V$5:$V$12,MATCH("Noah",'Manager Profiles'!$A$5:$A$12,0)),IF(M96="TE",INDEX('Manager Profiles'!$W$5:$W$12,MATCH("Noah",'Manager Profiles'!$A$5:$A$12,0)),0)))))</f>
        <v>1</v>
      </c>
      <c r="T96">
        <f>IF(M96="","",IF(M96="QB",INDEX('Manager Profiles'!$T$5:$T$12,MATCH($B$5,'Manager Profiles'!$A$5:$A$12,0)),IF(M96="RB",INDEX('Manager Profiles'!$U$5:$U$12,MATCH($B$5,'Manager Profiles'!$A$5:$A$12,0)),IF(M96="WR",INDEX('Manager Profiles'!$V$5:$V$12,MATCH($B$5,'Manager Profiles'!$A$5:$A$12,0)),IF(M96="TE",INDEX('Manager Profiles'!$W$5:$W$12,MATCH($B$5,'Manager Profiles'!$A$5:$A$12,0)),0)))))</f>
        <v>3</v>
      </c>
      <c r="U96">
        <f t="shared" si="26"/>
        <v>-2</v>
      </c>
      <c r="V96">
        <f t="shared" si="27"/>
        <v>0</v>
      </c>
      <c r="W96">
        <f t="shared" ca="1" si="28"/>
        <v>-9999</v>
      </c>
      <c r="X96">
        <f ca="1">IF(M96="","",IFERROR(_xludf.MINIFS($N$5:$N$164,$M$5:$M$164,M96,$N$5:$N$164,"&gt;"&amp;N96,$P$5:$P$164,"&gt;-9999"),N96+20))</f>
        <v>115</v>
      </c>
      <c r="Y96">
        <f t="shared" ca="1" si="29"/>
        <v>20</v>
      </c>
      <c r="Z96">
        <f t="shared" si="30"/>
        <v>-34</v>
      </c>
      <c r="AA96" t="str">
        <f t="shared" si="31"/>
        <v>No</v>
      </c>
      <c r="AB96" t="str">
        <f t="shared" ca="1" si="32"/>
        <v>Yes</v>
      </c>
      <c r="AC96" t="str">
        <f t="shared" si="33"/>
        <v>No</v>
      </c>
      <c r="AD96" t="str">
        <f t="shared" ca="1" si="34"/>
        <v>No</v>
      </c>
    </row>
    <row r="97" spans="12:30">
      <c r="L97" t="str">
        <f>'Player Board'!B96</f>
        <v>Daniel Jones</v>
      </c>
      <c r="M97" t="str">
        <f>'Player Board'!C96</f>
        <v>QB</v>
      </c>
      <c r="N97">
        <f>'Player Board'!H96</f>
        <v>96</v>
      </c>
      <c r="O97">
        <f>'Player Board'!Q96</f>
        <v>36</v>
      </c>
      <c r="P97">
        <f>IF(NOT(AND('Player Board'!J96="No",'Player Board'!K96="No")),-9999,(325-N97*2)+((IF(M97="QB",INDEX('Manager Profiles'!$T$5:$T$12,MATCH($B$5,'Manager Profiles'!$A$5:$A$12,0)),IF(M97="RB",INDEX('Manager Profiles'!$U$5:$U$12,MATCH($B$5,'Manager Profiles'!$A$5:$A$12,0)),IF(M97="WR",INDEX('Manager Profiles'!$V$5:$V$12,MATCH($B$5,'Manager Profiles'!$A$5:$A$12,0)),IF(M97="TE",INDEX('Manager Profiles'!$W$5:$W$12,MATCH($B$5,'Manager Profiles'!$A$5:$A$12,0)),0)))))*3)+(IF($B$6="Contender",IF('Player Board'!R96="Veteran",12,IF('Player Board'!R96="Prime",7,IF('Player Board'!R96="Young",3,-4))),IF($B$6="Rebuilder",IF('Player Board'!R96="Rookie",15,IF('Player Board'!R96="Young",10,IF('Player Board'!R96="Prime",2,-15))),IF('Player Board'!R96="Veteran",-2,IF('Player Board'!R96="Rookie",4,2)))))+MAX(-20,MIN(20,($B$4-IF(O97="",N97,O97))*2))+(IFERROR(IF(INDEX('Player Board'!$F$4:$F$163,MATCH(N97+1,'Player Board'!$H$4:$H$163,0))&gt;'Player Board'!F96,8,0),0)))</f>
        <v>121</v>
      </c>
      <c r="Q97">
        <f t="shared" si="25"/>
        <v>121.0104</v>
      </c>
      <c r="R97">
        <f>IF(AND('Draft Tracker'!D96="Noah",'Draft Tracker'!A96&gt;$B$4),'Draft Tracker'!A96,9999)</f>
        <v>9999</v>
      </c>
      <c r="S97">
        <f>IF(M97="","",IF(M97="QB",INDEX('Manager Profiles'!$T$5:$T$12,MATCH("Noah",'Manager Profiles'!$A$5:$A$12,0)),IF(M97="RB",INDEX('Manager Profiles'!$U$5:$U$12,MATCH("Noah",'Manager Profiles'!$A$5:$A$12,0)),IF(M97="WR",INDEX('Manager Profiles'!$V$5:$V$12,MATCH("Noah",'Manager Profiles'!$A$5:$A$12,0)),IF(M97="TE",INDEX('Manager Profiles'!$W$5:$W$12,MATCH("Noah",'Manager Profiles'!$A$5:$A$12,0)),0)))))</f>
        <v>9</v>
      </c>
      <c r="T97">
        <f>IF(M97="","",IF(M97="QB",INDEX('Manager Profiles'!$T$5:$T$12,MATCH($B$5,'Manager Profiles'!$A$5:$A$12,0)),IF(M97="RB",INDEX('Manager Profiles'!$U$5:$U$12,MATCH($B$5,'Manager Profiles'!$A$5:$A$12,0)),IF(M97="WR",INDEX('Manager Profiles'!$V$5:$V$12,MATCH($B$5,'Manager Profiles'!$A$5:$A$12,0)),IF(M97="TE",INDEX('Manager Profiles'!$W$5:$W$12,MATCH($B$5,'Manager Profiles'!$A$5:$A$12,0)),0)))))</f>
        <v>2</v>
      </c>
      <c r="U97">
        <f t="shared" si="26"/>
        <v>7</v>
      </c>
      <c r="V97">
        <f t="shared" si="27"/>
        <v>0</v>
      </c>
      <c r="W97">
        <f t="shared" ca="1" si="28"/>
        <v>-9999</v>
      </c>
      <c r="X97">
        <f ca="1">IF(M97="","",IFERROR(_xludf.MINIFS($N$5:$N$164,$M$5:$M$164,M97,$N$5:$N$164,"&gt;"&amp;N97,$P$5:$P$164,"&gt;-9999"),N97+20))</f>
        <v>116</v>
      </c>
      <c r="Y97">
        <f t="shared" ca="1" si="29"/>
        <v>20</v>
      </c>
      <c r="Z97">
        <f t="shared" si="30"/>
        <v>-35</v>
      </c>
      <c r="AA97" t="str">
        <f t="shared" si="31"/>
        <v>No</v>
      </c>
      <c r="AB97" t="str">
        <f t="shared" ca="1" si="32"/>
        <v>Yes</v>
      </c>
      <c r="AC97" t="str">
        <f t="shared" si="33"/>
        <v>No</v>
      </c>
      <c r="AD97" t="str">
        <f t="shared" ca="1" si="34"/>
        <v>No</v>
      </c>
    </row>
    <row r="98" spans="12:30">
      <c r="L98" t="str">
        <f>'Player Board'!B97</f>
        <v>D'Andre Swift</v>
      </c>
      <c r="M98" t="str">
        <f>'Player Board'!C97</f>
        <v>RB</v>
      </c>
      <c r="N98">
        <f>'Player Board'!H97</f>
        <v>97</v>
      </c>
      <c r="O98">
        <f>'Player Board'!Q97</f>
        <v>37</v>
      </c>
      <c r="P98">
        <f>IF(NOT(AND('Player Board'!J97="No",'Player Board'!K97="No")),-9999,(325-N98*2)+((IF(M98="QB",INDEX('Manager Profiles'!$T$5:$T$12,MATCH($B$5,'Manager Profiles'!$A$5:$A$12,0)),IF(M98="RB",INDEX('Manager Profiles'!$U$5:$U$12,MATCH($B$5,'Manager Profiles'!$A$5:$A$12,0)),IF(M98="WR",INDEX('Manager Profiles'!$V$5:$V$12,MATCH($B$5,'Manager Profiles'!$A$5:$A$12,0)),IF(M98="TE",INDEX('Manager Profiles'!$W$5:$W$12,MATCH($B$5,'Manager Profiles'!$A$5:$A$12,0)),0)))))*3)+(IF($B$6="Contender",IF('Player Board'!R97="Veteran",12,IF('Player Board'!R97="Prime",7,IF('Player Board'!R97="Young",3,-4))),IF($B$6="Rebuilder",IF('Player Board'!R97="Rookie",15,IF('Player Board'!R97="Young",10,IF('Player Board'!R97="Prime",2,-15))),IF('Player Board'!R97="Veteran",-2,IF('Player Board'!R97="Rookie",4,2)))))+MAX(-20,MIN(20,($B$4-IF(O98="",N98,O98))*2))+(IFERROR(IF(INDEX('Player Board'!$F$4:$F$163,MATCH(N98+1,'Player Board'!$H$4:$H$163,0))&gt;'Player Board'!F97,8,0),0)))</f>
        <v>140</v>
      </c>
      <c r="Q98">
        <f t="shared" si="25"/>
        <v>140.0103</v>
      </c>
      <c r="R98">
        <f>IF(AND('Draft Tracker'!D97="Noah",'Draft Tracker'!A97&gt;$B$4),'Draft Tracker'!A97,9999)</f>
        <v>9999</v>
      </c>
      <c r="S98">
        <f>IF(M98="","",IF(M98="QB",INDEX('Manager Profiles'!$T$5:$T$12,MATCH("Noah",'Manager Profiles'!$A$5:$A$12,0)),IF(M98="RB",INDEX('Manager Profiles'!$U$5:$U$12,MATCH("Noah",'Manager Profiles'!$A$5:$A$12,0)),IF(M98="WR",INDEX('Manager Profiles'!$V$5:$V$12,MATCH("Noah",'Manager Profiles'!$A$5:$A$12,0)),IF(M98="TE",INDEX('Manager Profiles'!$W$5:$W$12,MATCH("Noah",'Manager Profiles'!$A$5:$A$12,0)),0)))))</f>
        <v>4</v>
      </c>
      <c r="T98">
        <f>IF(M98="","",IF(M98="QB",INDEX('Manager Profiles'!$T$5:$T$12,MATCH($B$5,'Manager Profiles'!$A$5:$A$12,0)),IF(M98="RB",INDEX('Manager Profiles'!$U$5:$U$12,MATCH($B$5,'Manager Profiles'!$A$5:$A$12,0)),IF(M98="WR",INDEX('Manager Profiles'!$V$5:$V$12,MATCH($B$5,'Manager Profiles'!$A$5:$A$12,0)),IF(M98="TE",INDEX('Manager Profiles'!$W$5:$W$12,MATCH($B$5,'Manager Profiles'!$A$5:$A$12,0)),0)))))</f>
        <v>9</v>
      </c>
      <c r="U98">
        <f t="shared" si="26"/>
        <v>-5</v>
      </c>
      <c r="V98">
        <f t="shared" si="27"/>
        <v>0</v>
      </c>
      <c r="W98">
        <f t="shared" ca="1" si="28"/>
        <v>-9999</v>
      </c>
      <c r="X98">
        <f ca="1">IF(M98="","",IFERROR(_xludf.MINIFS($N$5:$N$164,$M$5:$M$164,M98,$N$5:$N$164,"&gt;"&amp;N98,$P$5:$P$164,"&gt;-9999"),N98+20))</f>
        <v>117</v>
      </c>
      <c r="Y98">
        <f t="shared" ca="1" si="29"/>
        <v>20</v>
      </c>
      <c r="Z98">
        <f t="shared" si="30"/>
        <v>-36</v>
      </c>
      <c r="AA98" t="str">
        <f t="shared" si="31"/>
        <v>No</v>
      </c>
      <c r="AB98" t="str">
        <f t="shared" ca="1" si="32"/>
        <v>Yes</v>
      </c>
      <c r="AC98" t="str">
        <f t="shared" si="33"/>
        <v>No</v>
      </c>
      <c r="AD98" t="str">
        <f t="shared" ca="1" si="34"/>
        <v>No</v>
      </c>
    </row>
    <row r="99" spans="12:30">
      <c r="L99" t="str">
        <f>'Player Board'!B98</f>
        <v>Parker Washington</v>
      </c>
      <c r="M99" t="str">
        <f>'Player Board'!C98</f>
        <v>WR</v>
      </c>
      <c r="N99">
        <f>'Player Board'!H98</f>
        <v>98</v>
      </c>
      <c r="O99">
        <f>'Player Board'!Q98</f>
        <v>38</v>
      </c>
      <c r="P99">
        <f>IF(NOT(AND('Player Board'!J98="No",'Player Board'!K98="No")),-9999,(325-N99*2)+((IF(M99="QB",INDEX('Manager Profiles'!$T$5:$T$12,MATCH($B$5,'Manager Profiles'!$A$5:$A$12,0)),IF(M99="RB",INDEX('Manager Profiles'!$U$5:$U$12,MATCH($B$5,'Manager Profiles'!$A$5:$A$12,0)),IF(M99="WR",INDEX('Manager Profiles'!$V$5:$V$12,MATCH($B$5,'Manager Profiles'!$A$5:$A$12,0)),IF(M99="TE",INDEX('Manager Profiles'!$W$5:$W$12,MATCH($B$5,'Manager Profiles'!$A$5:$A$12,0)),0)))))*3)+(IF($B$6="Contender",IF('Player Board'!R98="Veteran",12,IF('Player Board'!R98="Prime",7,IF('Player Board'!R98="Young",3,-4))),IF($B$6="Rebuilder",IF('Player Board'!R98="Rookie",15,IF('Player Board'!R98="Young",10,IF('Player Board'!R98="Prime",2,-15))),IF('Player Board'!R98="Veteran",-2,IF('Player Board'!R98="Rookie",4,2)))))+MAX(-20,MIN(20,($B$4-IF(O99="",N99,O99))*2))+(IFERROR(IF(INDEX('Player Board'!$F$4:$F$163,MATCH(N99+1,'Player Board'!$H$4:$H$163,0))&gt;'Player Board'!F98,8,0),0)))</f>
        <v>120</v>
      </c>
      <c r="Q99">
        <f t="shared" si="25"/>
        <v>120.0102</v>
      </c>
      <c r="R99">
        <f>IF(AND('Draft Tracker'!D98="Noah",'Draft Tracker'!A98&gt;$B$4),'Draft Tracker'!A98,9999)</f>
        <v>9999</v>
      </c>
      <c r="S99">
        <f>IF(M99="","",IF(M99="QB",INDEX('Manager Profiles'!$T$5:$T$12,MATCH("Noah",'Manager Profiles'!$A$5:$A$12,0)),IF(M99="RB",INDEX('Manager Profiles'!$U$5:$U$12,MATCH("Noah",'Manager Profiles'!$A$5:$A$12,0)),IF(M99="WR",INDEX('Manager Profiles'!$V$5:$V$12,MATCH("Noah",'Manager Profiles'!$A$5:$A$12,0)),IF(M99="TE",INDEX('Manager Profiles'!$W$5:$W$12,MATCH("Noah",'Manager Profiles'!$A$5:$A$12,0)),0)))))</f>
        <v>1</v>
      </c>
      <c r="T99">
        <f>IF(M99="","",IF(M99="QB",INDEX('Manager Profiles'!$T$5:$T$12,MATCH($B$5,'Manager Profiles'!$A$5:$A$12,0)),IF(M99="RB",INDEX('Manager Profiles'!$U$5:$U$12,MATCH($B$5,'Manager Profiles'!$A$5:$A$12,0)),IF(M99="WR",INDEX('Manager Profiles'!$V$5:$V$12,MATCH($B$5,'Manager Profiles'!$A$5:$A$12,0)),IF(M99="TE",INDEX('Manager Profiles'!$W$5:$W$12,MATCH($B$5,'Manager Profiles'!$A$5:$A$12,0)),0)))))</f>
        <v>3</v>
      </c>
      <c r="U99">
        <f t="shared" si="26"/>
        <v>-2</v>
      </c>
      <c r="V99">
        <f t="shared" si="27"/>
        <v>0</v>
      </c>
      <c r="W99">
        <f t="shared" ca="1" si="28"/>
        <v>-9999</v>
      </c>
      <c r="X99">
        <f ca="1">IF(M99="","",IFERROR(_xludf.MINIFS($N$5:$N$164,$M$5:$M$164,M99,$N$5:$N$164,"&gt;"&amp;N99,$P$5:$P$164,"&gt;-9999"),N99+20))</f>
        <v>118</v>
      </c>
      <c r="Y99">
        <f t="shared" ca="1" si="29"/>
        <v>20</v>
      </c>
      <c r="Z99">
        <f t="shared" si="30"/>
        <v>-37</v>
      </c>
      <c r="AA99" t="str">
        <f t="shared" si="31"/>
        <v>No</v>
      </c>
      <c r="AB99" t="str">
        <f t="shared" ca="1" si="32"/>
        <v>Yes</v>
      </c>
      <c r="AC99" t="str">
        <f t="shared" si="33"/>
        <v>No</v>
      </c>
      <c r="AD99" t="str">
        <f t="shared" ca="1" si="34"/>
        <v>No</v>
      </c>
    </row>
    <row r="100" spans="12:30">
      <c r="L100" t="str">
        <f>'Player Board'!B99</f>
        <v>Quentin Johnston</v>
      </c>
      <c r="M100" t="str">
        <f>'Player Board'!C99</f>
        <v>WR</v>
      </c>
      <c r="N100">
        <f>'Player Board'!H99</f>
        <v>99</v>
      </c>
      <c r="O100">
        <f>'Player Board'!Q99</f>
        <v>39</v>
      </c>
      <c r="P100">
        <f>IF(NOT(AND('Player Board'!J99="No",'Player Board'!K99="No")),-9999,(325-N100*2)+((IF(M100="QB",INDEX('Manager Profiles'!$T$5:$T$12,MATCH($B$5,'Manager Profiles'!$A$5:$A$12,0)),IF(M100="RB",INDEX('Manager Profiles'!$U$5:$U$12,MATCH($B$5,'Manager Profiles'!$A$5:$A$12,0)),IF(M100="WR",INDEX('Manager Profiles'!$V$5:$V$12,MATCH($B$5,'Manager Profiles'!$A$5:$A$12,0)),IF(M100="TE",INDEX('Manager Profiles'!$W$5:$W$12,MATCH($B$5,'Manager Profiles'!$A$5:$A$12,0)),0)))))*3)+(IF($B$6="Contender",IF('Player Board'!R99="Veteran",12,IF('Player Board'!R99="Prime",7,IF('Player Board'!R99="Young",3,-4))),IF($B$6="Rebuilder",IF('Player Board'!R99="Rookie",15,IF('Player Board'!R99="Young",10,IF('Player Board'!R99="Prime",2,-15))),IF('Player Board'!R99="Veteran",-2,IF('Player Board'!R99="Rookie",4,2)))))+MAX(-20,MIN(20,($B$4-IF(O100="",N100,O100))*2))+(IFERROR(IF(INDEX('Player Board'!$F$4:$F$163,MATCH(N100+1,'Player Board'!$H$4:$H$163,0))&gt;'Player Board'!F99,8,0),0)))</f>
        <v>118</v>
      </c>
      <c r="Q100">
        <f t="shared" si="25"/>
        <v>118.01009999999999</v>
      </c>
      <c r="R100">
        <f>IF(AND('Draft Tracker'!D99="Noah",'Draft Tracker'!A99&gt;$B$4),'Draft Tracker'!A99,9999)</f>
        <v>9999</v>
      </c>
      <c r="S100">
        <f>IF(M100="","",IF(M100="QB",INDEX('Manager Profiles'!$T$5:$T$12,MATCH("Noah",'Manager Profiles'!$A$5:$A$12,0)),IF(M100="RB",INDEX('Manager Profiles'!$U$5:$U$12,MATCH("Noah",'Manager Profiles'!$A$5:$A$12,0)),IF(M100="WR",INDEX('Manager Profiles'!$V$5:$V$12,MATCH("Noah",'Manager Profiles'!$A$5:$A$12,0)),IF(M100="TE",INDEX('Manager Profiles'!$W$5:$W$12,MATCH("Noah",'Manager Profiles'!$A$5:$A$12,0)),0)))))</f>
        <v>1</v>
      </c>
      <c r="T100">
        <f>IF(M100="","",IF(M100="QB",INDEX('Manager Profiles'!$T$5:$T$12,MATCH($B$5,'Manager Profiles'!$A$5:$A$12,0)),IF(M100="RB",INDEX('Manager Profiles'!$U$5:$U$12,MATCH($B$5,'Manager Profiles'!$A$5:$A$12,0)),IF(M100="WR",INDEX('Manager Profiles'!$V$5:$V$12,MATCH($B$5,'Manager Profiles'!$A$5:$A$12,0)),IF(M100="TE",INDEX('Manager Profiles'!$W$5:$W$12,MATCH($B$5,'Manager Profiles'!$A$5:$A$12,0)),0)))))</f>
        <v>3</v>
      </c>
      <c r="U100">
        <f t="shared" si="26"/>
        <v>-2</v>
      </c>
      <c r="V100">
        <f t="shared" si="27"/>
        <v>0</v>
      </c>
      <c r="W100">
        <f t="shared" ca="1" si="28"/>
        <v>-9999</v>
      </c>
      <c r="X100">
        <f ca="1">IF(M100="","",IFERROR(_xludf.MINIFS($N$5:$N$164,$M$5:$M$164,M100,$N$5:$N$164,"&gt;"&amp;N100,$P$5:$P$164,"&gt;-9999"),N100+20))</f>
        <v>119</v>
      </c>
      <c r="Y100">
        <f t="shared" ca="1" si="29"/>
        <v>20</v>
      </c>
      <c r="Z100">
        <f t="shared" si="30"/>
        <v>-38</v>
      </c>
      <c r="AA100" t="str">
        <f t="shared" si="31"/>
        <v>No</v>
      </c>
      <c r="AB100" t="str">
        <f t="shared" ca="1" si="32"/>
        <v>Yes</v>
      </c>
      <c r="AC100" t="str">
        <f t="shared" si="33"/>
        <v>No</v>
      </c>
      <c r="AD100" t="str">
        <f t="shared" ca="1" si="34"/>
        <v>No</v>
      </c>
    </row>
    <row r="101" spans="12:30">
      <c r="L101" t="str">
        <f>'Player Board'!B100</f>
        <v>Terry McLaurin</v>
      </c>
      <c r="M101" t="str">
        <f>'Player Board'!C100</f>
        <v>WR</v>
      </c>
      <c r="N101">
        <f>'Player Board'!H100</f>
        <v>70</v>
      </c>
      <c r="O101" t="str">
        <f>'Player Board'!Q100</f>
        <v/>
      </c>
      <c r="P101">
        <f>IF(NOT(AND('Player Board'!J100="No",'Player Board'!K100="No")),-9999,(325-N101*2)+((IF(M101="QB",INDEX('Manager Profiles'!$T$5:$T$12,MATCH($B$5,'Manager Profiles'!$A$5:$A$12,0)),IF(M101="RB",INDEX('Manager Profiles'!$U$5:$U$12,MATCH($B$5,'Manager Profiles'!$A$5:$A$12,0)),IF(M101="WR",INDEX('Manager Profiles'!$V$5:$V$12,MATCH($B$5,'Manager Profiles'!$A$5:$A$12,0)),IF(M101="TE",INDEX('Manager Profiles'!$W$5:$W$12,MATCH($B$5,'Manager Profiles'!$A$5:$A$12,0)),0)))))*3)+(IF($B$6="Contender",IF('Player Board'!R100="Veteran",12,IF('Player Board'!R100="Prime",7,IF('Player Board'!R100="Young",3,-4))),IF($B$6="Rebuilder",IF('Player Board'!R100="Rookie",15,IF('Player Board'!R100="Young",10,IF('Player Board'!R100="Prime",2,-15))),IF('Player Board'!R100="Veteran",-2,IF('Player Board'!R100="Rookie",4,2)))))+MAX(-20,MIN(20,($B$4-IF(O101="",N101,O101))*2))+(IFERROR(IF(INDEX('Player Board'!$F$4:$F$163,MATCH(N101+1,'Player Board'!$H$4:$H$163,0))&gt;'Player Board'!F100,8,0),0)))</f>
        <v>-9999</v>
      </c>
      <c r="Q101">
        <f t="shared" ref="Q101:Q132" si="35">P101+(200-N101)/10000</f>
        <v>-9998.9869999999992</v>
      </c>
      <c r="R101">
        <f>IF(AND('Draft Tracker'!D100="Noah",'Draft Tracker'!A100&gt;$B$4),'Draft Tracker'!A100,9999)</f>
        <v>9999</v>
      </c>
      <c r="S101">
        <f>IF(M101="","",IF(M101="QB",INDEX('Manager Profiles'!$T$5:$T$12,MATCH("Noah",'Manager Profiles'!$A$5:$A$12,0)),IF(M101="RB",INDEX('Manager Profiles'!$U$5:$U$12,MATCH("Noah",'Manager Profiles'!$A$5:$A$12,0)),IF(M101="WR",INDEX('Manager Profiles'!$V$5:$V$12,MATCH("Noah",'Manager Profiles'!$A$5:$A$12,0)),IF(M101="TE",INDEX('Manager Profiles'!$W$5:$W$12,MATCH("Noah",'Manager Profiles'!$A$5:$A$12,0)),0)))))</f>
        <v>1</v>
      </c>
      <c r="T101">
        <f>IF(M101="","",IF(M101="QB",INDEX('Manager Profiles'!$T$5:$T$12,MATCH($B$5,'Manager Profiles'!$A$5:$A$12,0)),IF(M101="RB",INDEX('Manager Profiles'!$U$5:$U$12,MATCH($B$5,'Manager Profiles'!$A$5:$A$12,0)),IF(M101="WR",INDEX('Manager Profiles'!$V$5:$V$12,MATCH($B$5,'Manager Profiles'!$A$5:$A$12,0)),IF(M101="TE",INDEX('Manager Profiles'!$W$5:$W$12,MATCH($B$5,'Manager Profiles'!$A$5:$A$12,0)),0)))))</f>
        <v>3</v>
      </c>
      <c r="U101">
        <f t="shared" ref="U101:U132" si="36">IF(S101="","",S101-T101)</f>
        <v>-2</v>
      </c>
      <c r="V101" t="str">
        <f t="shared" ref="V101:V132" si="37">IF(O101="","",MAX(0,$B$8-O101))</f>
        <v/>
      </c>
      <c r="W101">
        <f t="shared" ref="W101:W132" ca="1" si="38">IF(OR(L101="",P101=-9999,AD101&lt;&gt;"Yes"),-9999,ROUND(S101*6+MAX(0,U101)*7+V101*7+MIN(20,Y101)*5+MAX(0,Z101)*10+MAX(0,50-N101)/4,1))</f>
        <v>-9999</v>
      </c>
      <c r="X101">
        <f ca="1">IF(M101="","",IFERROR(_xludf.MINIFS($N$5:$N$164,$M$5:$M$164,M101,$N$5:$N$164,"&gt;"&amp;N101,$P$5:$P$164,"&gt;-9999"),N101+20))</f>
        <v>90</v>
      </c>
      <c r="Y101">
        <f t="shared" ref="Y101:Y132" ca="1" si="39">IF(X101="","",MAX(0,X101-N101))</f>
        <v>20</v>
      </c>
      <c r="Z101" t="str">
        <f t="shared" ref="Z101:Z132" si="40">IF(O101="","",$B$4-O101)</f>
        <v/>
      </c>
      <c r="AA101" t="str">
        <f t="shared" ref="AA101:AA132" si="41">IF(AND(V101&gt;0,Z101&gt;=0,S101&gt;=4,$B$5&lt;&gt;"Noah"),"Yes","No")</f>
        <v>No</v>
      </c>
      <c r="AB101" t="str">
        <f t="shared" ref="AB101:AB132" ca="1" si="42">IF(Y101&gt;=12,"Yes","No")</f>
        <v>Yes</v>
      </c>
      <c r="AC101" t="str">
        <f t="shared" ref="AC101:AC132" si="43">IF(Z101&gt;=3,"Yes","No")</f>
        <v>Yes</v>
      </c>
      <c r="AD101" t="str">
        <f t="shared" ref="AD101:AD132" ca="1" si="44">IF(AND(V101&gt;=3,S101&gt;=5,U101&gt;=3,Y101&gt;=12,Z101&gt;=3,$B$5&lt;&gt;"Noah"),"Yes","No")</f>
        <v>No</v>
      </c>
    </row>
    <row r="102" spans="12:30">
      <c r="L102" t="str">
        <f>'Player Board'!B101</f>
        <v>Michael Wilson</v>
      </c>
      <c r="M102" t="str">
        <f>'Player Board'!C101</f>
        <v>WR</v>
      </c>
      <c r="N102">
        <f>'Player Board'!H101</f>
        <v>100</v>
      </c>
      <c r="O102">
        <f>'Player Board'!Q101</f>
        <v>40</v>
      </c>
      <c r="P102">
        <f>IF(NOT(AND('Player Board'!J101="No",'Player Board'!K101="No")),-9999,(325-N102*2)+((IF(M102="QB",INDEX('Manager Profiles'!$T$5:$T$12,MATCH($B$5,'Manager Profiles'!$A$5:$A$12,0)),IF(M102="RB",INDEX('Manager Profiles'!$U$5:$U$12,MATCH($B$5,'Manager Profiles'!$A$5:$A$12,0)),IF(M102="WR",INDEX('Manager Profiles'!$V$5:$V$12,MATCH($B$5,'Manager Profiles'!$A$5:$A$12,0)),IF(M102="TE",INDEX('Manager Profiles'!$W$5:$W$12,MATCH($B$5,'Manager Profiles'!$A$5:$A$12,0)),0)))))*3)+(IF($B$6="Contender",IF('Player Board'!R101="Veteran",12,IF('Player Board'!R101="Prime",7,IF('Player Board'!R101="Young",3,-4))),IF($B$6="Rebuilder",IF('Player Board'!R101="Rookie",15,IF('Player Board'!R101="Young",10,IF('Player Board'!R101="Prime",2,-15))),IF('Player Board'!R101="Veteran",-2,IF('Player Board'!R101="Rookie",4,2)))))+MAX(-20,MIN(20,($B$4-IF(O102="",N102,O102))*2))+(IFERROR(IF(INDEX('Player Board'!$F$4:$F$163,MATCH(N102+1,'Player Board'!$H$4:$H$163,0))&gt;'Player Board'!F101,8,0),0)))</f>
        <v>124</v>
      </c>
      <c r="Q102">
        <f t="shared" si="35"/>
        <v>124.01</v>
      </c>
      <c r="R102">
        <f>IF(AND('Draft Tracker'!D101="Noah",'Draft Tracker'!A101&gt;$B$4),'Draft Tracker'!A101,9999)</f>
        <v>9999</v>
      </c>
      <c r="S102">
        <f>IF(M102="","",IF(M102="QB",INDEX('Manager Profiles'!$T$5:$T$12,MATCH("Noah",'Manager Profiles'!$A$5:$A$12,0)),IF(M102="RB",INDEX('Manager Profiles'!$U$5:$U$12,MATCH("Noah",'Manager Profiles'!$A$5:$A$12,0)),IF(M102="WR",INDEX('Manager Profiles'!$V$5:$V$12,MATCH("Noah",'Manager Profiles'!$A$5:$A$12,0)),IF(M102="TE",INDEX('Manager Profiles'!$W$5:$W$12,MATCH("Noah",'Manager Profiles'!$A$5:$A$12,0)),0)))))</f>
        <v>1</v>
      </c>
      <c r="T102">
        <f>IF(M102="","",IF(M102="QB",INDEX('Manager Profiles'!$T$5:$T$12,MATCH($B$5,'Manager Profiles'!$A$5:$A$12,0)),IF(M102="RB",INDEX('Manager Profiles'!$U$5:$U$12,MATCH($B$5,'Manager Profiles'!$A$5:$A$12,0)),IF(M102="WR",INDEX('Manager Profiles'!$V$5:$V$12,MATCH($B$5,'Manager Profiles'!$A$5:$A$12,0)),IF(M102="TE",INDEX('Manager Profiles'!$W$5:$W$12,MATCH($B$5,'Manager Profiles'!$A$5:$A$12,0)),0)))))</f>
        <v>3</v>
      </c>
      <c r="U102">
        <f t="shared" si="36"/>
        <v>-2</v>
      </c>
      <c r="V102">
        <f t="shared" si="37"/>
        <v>0</v>
      </c>
      <c r="W102">
        <f t="shared" ca="1" si="38"/>
        <v>-9999</v>
      </c>
      <c r="X102">
        <f ca="1">IF(M102="","",IFERROR(_xludf.MINIFS($N$5:$N$164,$M$5:$M$164,M102,$N$5:$N$164,"&gt;"&amp;N102,$P$5:$P$164,"&gt;-9999"),N102+20))</f>
        <v>120</v>
      </c>
      <c r="Y102">
        <f t="shared" ca="1" si="39"/>
        <v>20</v>
      </c>
      <c r="Z102">
        <f t="shared" si="40"/>
        <v>-39</v>
      </c>
      <c r="AA102" t="str">
        <f t="shared" si="41"/>
        <v>No</v>
      </c>
      <c r="AB102" t="str">
        <f t="shared" ca="1" si="42"/>
        <v>Yes</v>
      </c>
      <c r="AC102" t="str">
        <f t="shared" si="43"/>
        <v>No</v>
      </c>
      <c r="AD102" t="str">
        <f t="shared" ca="1" si="44"/>
        <v>No</v>
      </c>
    </row>
    <row r="103" spans="12:30">
      <c r="L103" t="str">
        <f>'Player Board'!B102</f>
        <v>Omar Cooper Jr.</v>
      </c>
      <c r="M103" t="str">
        <f>'Player Board'!C102</f>
        <v>WR</v>
      </c>
      <c r="N103">
        <f>'Player Board'!H102</f>
        <v>101</v>
      </c>
      <c r="O103">
        <f>'Player Board'!Q102</f>
        <v>41</v>
      </c>
      <c r="P103">
        <f>IF(NOT(AND('Player Board'!J102="No",'Player Board'!K102="No")),-9999,(325-N103*2)+((IF(M103="QB",INDEX('Manager Profiles'!$T$5:$T$12,MATCH($B$5,'Manager Profiles'!$A$5:$A$12,0)),IF(M103="RB",INDEX('Manager Profiles'!$U$5:$U$12,MATCH($B$5,'Manager Profiles'!$A$5:$A$12,0)),IF(M103="WR",INDEX('Manager Profiles'!$V$5:$V$12,MATCH($B$5,'Manager Profiles'!$A$5:$A$12,0)),IF(M103="TE",INDEX('Manager Profiles'!$W$5:$W$12,MATCH($B$5,'Manager Profiles'!$A$5:$A$12,0)),0)))))*3)+(IF($B$6="Contender",IF('Player Board'!R102="Veteran",12,IF('Player Board'!R102="Prime",7,IF('Player Board'!R102="Young",3,-4))),IF($B$6="Rebuilder",IF('Player Board'!R102="Rookie",15,IF('Player Board'!R102="Young",10,IF('Player Board'!R102="Prime",2,-15))),IF('Player Board'!R102="Veteran",-2,IF('Player Board'!R102="Rookie",4,2)))))+MAX(-20,MIN(20,($B$4-IF(O103="",N103,O103))*2))+(IFERROR(IF(INDEX('Player Board'!$F$4:$F$163,MATCH(N103+1,'Player Board'!$H$4:$H$163,0))&gt;'Player Board'!F102,8,0),0)))</f>
        <v>116</v>
      </c>
      <c r="Q103">
        <f t="shared" si="35"/>
        <v>116.0099</v>
      </c>
      <c r="R103">
        <f>IF(AND('Draft Tracker'!D102="Noah",'Draft Tracker'!A102&gt;$B$4),'Draft Tracker'!A102,9999)</f>
        <v>9999</v>
      </c>
      <c r="S103">
        <f>IF(M103="","",IF(M103="QB",INDEX('Manager Profiles'!$T$5:$T$12,MATCH("Noah",'Manager Profiles'!$A$5:$A$12,0)),IF(M103="RB",INDEX('Manager Profiles'!$U$5:$U$12,MATCH("Noah",'Manager Profiles'!$A$5:$A$12,0)),IF(M103="WR",INDEX('Manager Profiles'!$V$5:$V$12,MATCH("Noah",'Manager Profiles'!$A$5:$A$12,0)),IF(M103="TE",INDEX('Manager Profiles'!$W$5:$W$12,MATCH("Noah",'Manager Profiles'!$A$5:$A$12,0)),0)))))</f>
        <v>1</v>
      </c>
      <c r="T103">
        <f>IF(M103="","",IF(M103="QB",INDEX('Manager Profiles'!$T$5:$T$12,MATCH($B$5,'Manager Profiles'!$A$5:$A$12,0)),IF(M103="RB",INDEX('Manager Profiles'!$U$5:$U$12,MATCH($B$5,'Manager Profiles'!$A$5:$A$12,0)),IF(M103="WR",INDEX('Manager Profiles'!$V$5:$V$12,MATCH($B$5,'Manager Profiles'!$A$5:$A$12,0)),IF(M103="TE",INDEX('Manager Profiles'!$W$5:$W$12,MATCH($B$5,'Manager Profiles'!$A$5:$A$12,0)),0)))))</f>
        <v>3</v>
      </c>
      <c r="U103">
        <f t="shared" si="36"/>
        <v>-2</v>
      </c>
      <c r="V103">
        <f t="shared" si="37"/>
        <v>0</v>
      </c>
      <c r="W103">
        <f t="shared" ca="1" si="38"/>
        <v>-9999</v>
      </c>
      <c r="X103">
        <f ca="1">IF(M103="","",IFERROR(_xludf.MINIFS($N$5:$N$164,$M$5:$M$164,M103,$N$5:$N$164,"&gt;"&amp;N103,$P$5:$P$164,"&gt;-9999"),N103+20))</f>
        <v>121</v>
      </c>
      <c r="Y103">
        <f t="shared" ca="1" si="39"/>
        <v>20</v>
      </c>
      <c r="Z103">
        <f t="shared" si="40"/>
        <v>-40</v>
      </c>
      <c r="AA103" t="str">
        <f t="shared" si="41"/>
        <v>No</v>
      </c>
      <c r="AB103" t="str">
        <f t="shared" ca="1" si="42"/>
        <v>Yes</v>
      </c>
      <c r="AC103" t="str">
        <f t="shared" si="43"/>
        <v>No</v>
      </c>
      <c r="AD103" t="str">
        <f t="shared" ca="1" si="44"/>
        <v>No</v>
      </c>
    </row>
    <row r="104" spans="12:30">
      <c r="L104" t="str">
        <f>'Player Board'!B103</f>
        <v>Josh Downs</v>
      </c>
      <c r="M104" t="str">
        <f>'Player Board'!C103</f>
        <v>WR</v>
      </c>
      <c r="N104">
        <f>'Player Board'!H103</f>
        <v>102</v>
      </c>
      <c r="O104">
        <f>'Player Board'!Q103</f>
        <v>42</v>
      </c>
      <c r="P104">
        <f>IF(NOT(AND('Player Board'!J103="No",'Player Board'!K103="No")),-9999,(325-N104*2)+((IF(M104="QB",INDEX('Manager Profiles'!$T$5:$T$12,MATCH($B$5,'Manager Profiles'!$A$5:$A$12,0)),IF(M104="RB",INDEX('Manager Profiles'!$U$5:$U$12,MATCH($B$5,'Manager Profiles'!$A$5:$A$12,0)),IF(M104="WR",INDEX('Manager Profiles'!$V$5:$V$12,MATCH($B$5,'Manager Profiles'!$A$5:$A$12,0)),IF(M104="TE",INDEX('Manager Profiles'!$W$5:$W$12,MATCH($B$5,'Manager Profiles'!$A$5:$A$12,0)),0)))))*3)+(IF($B$6="Contender",IF('Player Board'!R103="Veteran",12,IF('Player Board'!R103="Prime",7,IF('Player Board'!R103="Young",3,-4))),IF($B$6="Rebuilder",IF('Player Board'!R103="Rookie",15,IF('Player Board'!R103="Young",10,IF('Player Board'!R103="Prime",2,-15))),IF('Player Board'!R103="Veteran",-2,IF('Player Board'!R103="Rookie",4,2)))))+MAX(-20,MIN(20,($B$4-IF(O104="",N104,O104))*2))+(IFERROR(IF(INDEX('Player Board'!$F$4:$F$163,MATCH(N104+1,'Player Board'!$H$4:$H$163,0))&gt;'Player Board'!F103,8,0),0)))</f>
        <v>112</v>
      </c>
      <c r="Q104">
        <f t="shared" si="35"/>
        <v>112.0098</v>
      </c>
      <c r="R104">
        <f>IF(AND('Draft Tracker'!D103="Noah",'Draft Tracker'!A103&gt;$B$4),'Draft Tracker'!A103,9999)</f>
        <v>9999</v>
      </c>
      <c r="S104">
        <f>IF(M104="","",IF(M104="QB",INDEX('Manager Profiles'!$T$5:$T$12,MATCH("Noah",'Manager Profiles'!$A$5:$A$12,0)),IF(M104="RB",INDEX('Manager Profiles'!$U$5:$U$12,MATCH("Noah",'Manager Profiles'!$A$5:$A$12,0)),IF(M104="WR",INDEX('Manager Profiles'!$V$5:$V$12,MATCH("Noah",'Manager Profiles'!$A$5:$A$12,0)),IF(M104="TE",INDEX('Manager Profiles'!$W$5:$W$12,MATCH("Noah",'Manager Profiles'!$A$5:$A$12,0)),0)))))</f>
        <v>1</v>
      </c>
      <c r="T104">
        <f>IF(M104="","",IF(M104="QB",INDEX('Manager Profiles'!$T$5:$T$12,MATCH($B$5,'Manager Profiles'!$A$5:$A$12,0)),IF(M104="RB",INDEX('Manager Profiles'!$U$5:$U$12,MATCH($B$5,'Manager Profiles'!$A$5:$A$12,0)),IF(M104="WR",INDEX('Manager Profiles'!$V$5:$V$12,MATCH($B$5,'Manager Profiles'!$A$5:$A$12,0)),IF(M104="TE",INDEX('Manager Profiles'!$W$5:$W$12,MATCH($B$5,'Manager Profiles'!$A$5:$A$12,0)),0)))))</f>
        <v>3</v>
      </c>
      <c r="U104">
        <f t="shared" si="36"/>
        <v>-2</v>
      </c>
      <c r="V104">
        <f t="shared" si="37"/>
        <v>0</v>
      </c>
      <c r="W104">
        <f t="shared" ca="1" si="38"/>
        <v>-9999</v>
      </c>
      <c r="X104">
        <f ca="1">IF(M104="","",IFERROR(_xludf.MINIFS($N$5:$N$164,$M$5:$M$164,M104,$N$5:$N$164,"&gt;"&amp;N104,$P$5:$P$164,"&gt;-9999"),N104+20))</f>
        <v>122</v>
      </c>
      <c r="Y104">
        <f t="shared" ca="1" si="39"/>
        <v>20</v>
      </c>
      <c r="Z104">
        <f t="shared" si="40"/>
        <v>-41</v>
      </c>
      <c r="AA104" t="str">
        <f t="shared" si="41"/>
        <v>No</v>
      </c>
      <c r="AB104" t="str">
        <f t="shared" ca="1" si="42"/>
        <v>Yes</v>
      </c>
      <c r="AC104" t="str">
        <f t="shared" si="43"/>
        <v>No</v>
      </c>
      <c r="AD104" t="str">
        <f t="shared" ca="1" si="44"/>
        <v>No</v>
      </c>
    </row>
    <row r="105" spans="12:30">
      <c r="L105" t="str">
        <f>'Player Board'!B104</f>
        <v>D.J. Moore</v>
      </c>
      <c r="M105" t="str">
        <f>'Player Board'!C104</f>
        <v>WR</v>
      </c>
      <c r="N105">
        <f>'Player Board'!H104</f>
        <v>103</v>
      </c>
      <c r="O105">
        <f>'Player Board'!Q104</f>
        <v>43</v>
      </c>
      <c r="P105">
        <f>IF(NOT(AND('Player Board'!J104="No",'Player Board'!K104="No")),-9999,(325-N105*2)+((IF(M105="QB",INDEX('Manager Profiles'!$T$5:$T$12,MATCH($B$5,'Manager Profiles'!$A$5:$A$12,0)),IF(M105="RB",INDEX('Manager Profiles'!$U$5:$U$12,MATCH($B$5,'Manager Profiles'!$A$5:$A$12,0)),IF(M105="WR",INDEX('Manager Profiles'!$V$5:$V$12,MATCH($B$5,'Manager Profiles'!$A$5:$A$12,0)),IF(M105="TE",INDEX('Manager Profiles'!$W$5:$W$12,MATCH($B$5,'Manager Profiles'!$A$5:$A$12,0)),0)))))*3)+(IF($B$6="Contender",IF('Player Board'!R104="Veteran",12,IF('Player Board'!R104="Prime",7,IF('Player Board'!R104="Young",3,-4))),IF($B$6="Rebuilder",IF('Player Board'!R104="Rookie",15,IF('Player Board'!R104="Young",10,IF('Player Board'!R104="Prime",2,-15))),IF('Player Board'!R104="Veteran",-2,IF('Player Board'!R104="Rookie",4,2)))))+MAX(-20,MIN(20,($B$4-IF(O105="",N105,O105))*2))+(IFERROR(IF(INDEX('Player Board'!$F$4:$F$163,MATCH(N105+1,'Player Board'!$H$4:$H$163,0))&gt;'Player Board'!F104,8,0),0)))</f>
        <v>106</v>
      </c>
      <c r="Q105">
        <f t="shared" si="35"/>
        <v>106.0097</v>
      </c>
      <c r="R105">
        <f>IF(AND('Draft Tracker'!D104="Noah",'Draft Tracker'!A104&gt;$B$4),'Draft Tracker'!A104,9999)</f>
        <v>9999</v>
      </c>
      <c r="S105">
        <f>IF(M105="","",IF(M105="QB",INDEX('Manager Profiles'!$T$5:$T$12,MATCH("Noah",'Manager Profiles'!$A$5:$A$12,0)),IF(M105="RB",INDEX('Manager Profiles'!$U$5:$U$12,MATCH("Noah",'Manager Profiles'!$A$5:$A$12,0)),IF(M105="WR",INDEX('Manager Profiles'!$V$5:$V$12,MATCH("Noah",'Manager Profiles'!$A$5:$A$12,0)),IF(M105="TE",INDEX('Manager Profiles'!$W$5:$W$12,MATCH("Noah",'Manager Profiles'!$A$5:$A$12,0)),0)))))</f>
        <v>1</v>
      </c>
      <c r="T105">
        <f>IF(M105="","",IF(M105="QB",INDEX('Manager Profiles'!$T$5:$T$12,MATCH($B$5,'Manager Profiles'!$A$5:$A$12,0)),IF(M105="RB",INDEX('Manager Profiles'!$U$5:$U$12,MATCH($B$5,'Manager Profiles'!$A$5:$A$12,0)),IF(M105="WR",INDEX('Manager Profiles'!$V$5:$V$12,MATCH($B$5,'Manager Profiles'!$A$5:$A$12,0)),IF(M105="TE",INDEX('Manager Profiles'!$W$5:$W$12,MATCH($B$5,'Manager Profiles'!$A$5:$A$12,0)),0)))))</f>
        <v>3</v>
      </c>
      <c r="U105">
        <f t="shared" si="36"/>
        <v>-2</v>
      </c>
      <c r="V105">
        <f t="shared" si="37"/>
        <v>0</v>
      </c>
      <c r="W105">
        <f t="shared" ca="1" si="38"/>
        <v>-9999</v>
      </c>
      <c r="X105">
        <f ca="1">IF(M105="","",IFERROR(_xludf.MINIFS($N$5:$N$164,$M$5:$M$164,M105,$N$5:$N$164,"&gt;"&amp;N105,$P$5:$P$164,"&gt;-9999"),N105+20))</f>
        <v>123</v>
      </c>
      <c r="Y105">
        <f t="shared" ca="1" si="39"/>
        <v>20</v>
      </c>
      <c r="Z105">
        <f t="shared" si="40"/>
        <v>-42</v>
      </c>
      <c r="AA105" t="str">
        <f t="shared" si="41"/>
        <v>No</v>
      </c>
      <c r="AB105" t="str">
        <f t="shared" ca="1" si="42"/>
        <v>Yes</v>
      </c>
      <c r="AC105" t="str">
        <f t="shared" si="43"/>
        <v>No</v>
      </c>
      <c r="AD105" t="str">
        <f t="shared" ca="1" si="44"/>
        <v>No</v>
      </c>
    </row>
    <row r="106" spans="12:30">
      <c r="L106" t="str">
        <f>'Player Board'!B105</f>
        <v>Oronde Gadsden II</v>
      </c>
      <c r="M106" t="str">
        <f>'Player Board'!C105</f>
        <v>TE</v>
      </c>
      <c r="N106">
        <f>'Player Board'!H105</f>
        <v>104</v>
      </c>
      <c r="O106">
        <f>'Player Board'!Q105</f>
        <v>44</v>
      </c>
      <c r="P106">
        <f>IF(NOT(AND('Player Board'!J105="No",'Player Board'!K105="No")),-9999,(325-N106*2)+((IF(M106="QB",INDEX('Manager Profiles'!$T$5:$T$12,MATCH($B$5,'Manager Profiles'!$A$5:$A$12,0)),IF(M106="RB",INDEX('Manager Profiles'!$U$5:$U$12,MATCH($B$5,'Manager Profiles'!$A$5:$A$12,0)),IF(M106="WR",INDEX('Manager Profiles'!$V$5:$V$12,MATCH($B$5,'Manager Profiles'!$A$5:$A$12,0)),IF(M106="TE",INDEX('Manager Profiles'!$W$5:$W$12,MATCH($B$5,'Manager Profiles'!$A$5:$A$12,0)),0)))))*3)+(IF($B$6="Contender",IF('Player Board'!R105="Veteran",12,IF('Player Board'!R105="Prime",7,IF('Player Board'!R105="Young",3,-4))),IF($B$6="Rebuilder",IF('Player Board'!R105="Rookie",15,IF('Player Board'!R105="Young",10,IF('Player Board'!R105="Prime",2,-15))),IF('Player Board'!R105="Veteran",-2,IF('Player Board'!R105="Rookie",4,2)))))+MAX(-20,MIN(20,($B$4-IF(O106="",N106,O106))*2))+(IFERROR(IF(INDEX('Player Board'!$F$4:$F$163,MATCH(N106+1,'Player Board'!$H$4:$H$163,0))&gt;'Player Board'!F105,8,0),0)))</f>
        <v>108</v>
      </c>
      <c r="Q106">
        <f t="shared" si="35"/>
        <v>108.00960000000001</v>
      </c>
      <c r="R106">
        <f>IF(AND('Draft Tracker'!D105="Noah",'Draft Tracker'!A105&gt;$B$4),'Draft Tracker'!A105,9999)</f>
        <v>9999</v>
      </c>
      <c r="S106">
        <f>IF(M106="","",IF(M106="QB",INDEX('Manager Profiles'!$T$5:$T$12,MATCH("Noah",'Manager Profiles'!$A$5:$A$12,0)),IF(M106="RB",INDEX('Manager Profiles'!$U$5:$U$12,MATCH("Noah",'Manager Profiles'!$A$5:$A$12,0)),IF(M106="WR",INDEX('Manager Profiles'!$V$5:$V$12,MATCH("Noah",'Manager Profiles'!$A$5:$A$12,0)),IF(M106="TE",INDEX('Manager Profiles'!$W$5:$W$12,MATCH("Noah",'Manager Profiles'!$A$5:$A$12,0)),0)))))</f>
        <v>7</v>
      </c>
      <c r="T106">
        <f>IF(M106="","",IF(M106="QB",INDEX('Manager Profiles'!$T$5:$T$12,MATCH($B$5,'Manager Profiles'!$A$5:$A$12,0)),IF(M106="RB",INDEX('Manager Profiles'!$U$5:$U$12,MATCH($B$5,'Manager Profiles'!$A$5:$A$12,0)),IF(M106="WR",INDEX('Manager Profiles'!$V$5:$V$12,MATCH($B$5,'Manager Profiles'!$A$5:$A$12,0)),IF(M106="TE",INDEX('Manager Profiles'!$W$5:$W$12,MATCH($B$5,'Manager Profiles'!$A$5:$A$12,0)),0)))))</f>
        <v>3</v>
      </c>
      <c r="U106">
        <f t="shared" si="36"/>
        <v>4</v>
      </c>
      <c r="V106">
        <f t="shared" si="37"/>
        <v>0</v>
      </c>
      <c r="W106">
        <f t="shared" ca="1" si="38"/>
        <v>-9999</v>
      </c>
      <c r="X106">
        <f ca="1">IF(M106="","",IFERROR(_xludf.MINIFS($N$5:$N$164,$M$5:$M$164,M106,$N$5:$N$164,"&gt;"&amp;N106,$P$5:$P$164,"&gt;-9999"),N106+20))</f>
        <v>124</v>
      </c>
      <c r="Y106">
        <f t="shared" ca="1" si="39"/>
        <v>20</v>
      </c>
      <c r="Z106">
        <f t="shared" si="40"/>
        <v>-43</v>
      </c>
      <c r="AA106" t="str">
        <f t="shared" si="41"/>
        <v>No</v>
      </c>
      <c r="AB106" t="str">
        <f t="shared" ca="1" si="42"/>
        <v>Yes</v>
      </c>
      <c r="AC106" t="str">
        <f t="shared" si="43"/>
        <v>No</v>
      </c>
      <c r="AD106" t="str">
        <f t="shared" ca="1" si="44"/>
        <v>No</v>
      </c>
    </row>
    <row r="107" spans="12:30">
      <c r="L107" t="str">
        <f>'Player Board'!B106</f>
        <v>Matthew Golden</v>
      </c>
      <c r="M107" t="str">
        <f>'Player Board'!C106</f>
        <v>WR</v>
      </c>
      <c r="N107">
        <f>'Player Board'!H106</f>
        <v>105</v>
      </c>
      <c r="O107" t="str">
        <f>'Player Board'!Q106</f>
        <v/>
      </c>
      <c r="P107">
        <f>IF(NOT(AND('Player Board'!J106="No",'Player Board'!K106="No")),-9999,(325-N107*2)+((IF(M107="QB",INDEX('Manager Profiles'!$T$5:$T$12,MATCH($B$5,'Manager Profiles'!$A$5:$A$12,0)),IF(M107="RB",INDEX('Manager Profiles'!$U$5:$U$12,MATCH($B$5,'Manager Profiles'!$A$5:$A$12,0)),IF(M107="WR",INDEX('Manager Profiles'!$V$5:$V$12,MATCH($B$5,'Manager Profiles'!$A$5:$A$12,0)),IF(M107="TE",INDEX('Manager Profiles'!$W$5:$W$12,MATCH($B$5,'Manager Profiles'!$A$5:$A$12,0)),0)))))*3)+(IF($B$6="Contender",IF('Player Board'!R106="Veteran",12,IF('Player Board'!R106="Prime",7,IF('Player Board'!R106="Young",3,-4))),IF($B$6="Rebuilder",IF('Player Board'!R106="Rookie",15,IF('Player Board'!R106="Young",10,IF('Player Board'!R106="Prime",2,-15))),IF('Player Board'!R106="Veteran",-2,IF('Player Board'!R106="Rookie",4,2)))))+MAX(-20,MIN(20,($B$4-IF(O107="",N107,O107))*2))+(IFERROR(IF(INDEX('Player Board'!$F$4:$F$163,MATCH(N107+1,'Player Board'!$H$4:$H$163,0))&gt;'Player Board'!F106,8,0),0)))</f>
        <v>-9999</v>
      </c>
      <c r="Q107">
        <f t="shared" si="35"/>
        <v>-9998.9904999999999</v>
      </c>
      <c r="R107">
        <f>IF(AND('Draft Tracker'!D106="Noah",'Draft Tracker'!A106&gt;$B$4),'Draft Tracker'!A106,9999)</f>
        <v>9999</v>
      </c>
      <c r="S107">
        <f>IF(M107="","",IF(M107="QB",INDEX('Manager Profiles'!$T$5:$T$12,MATCH("Noah",'Manager Profiles'!$A$5:$A$12,0)),IF(M107="RB",INDEX('Manager Profiles'!$U$5:$U$12,MATCH("Noah",'Manager Profiles'!$A$5:$A$12,0)),IF(M107="WR",INDEX('Manager Profiles'!$V$5:$V$12,MATCH("Noah",'Manager Profiles'!$A$5:$A$12,0)),IF(M107="TE",INDEX('Manager Profiles'!$W$5:$W$12,MATCH("Noah",'Manager Profiles'!$A$5:$A$12,0)),0)))))</f>
        <v>1</v>
      </c>
      <c r="T107">
        <f>IF(M107="","",IF(M107="QB",INDEX('Manager Profiles'!$T$5:$T$12,MATCH($B$5,'Manager Profiles'!$A$5:$A$12,0)),IF(M107="RB",INDEX('Manager Profiles'!$U$5:$U$12,MATCH($B$5,'Manager Profiles'!$A$5:$A$12,0)),IF(M107="WR",INDEX('Manager Profiles'!$V$5:$V$12,MATCH($B$5,'Manager Profiles'!$A$5:$A$12,0)),IF(M107="TE",INDEX('Manager Profiles'!$W$5:$W$12,MATCH($B$5,'Manager Profiles'!$A$5:$A$12,0)),0)))))</f>
        <v>3</v>
      </c>
      <c r="U107">
        <f t="shared" si="36"/>
        <v>-2</v>
      </c>
      <c r="V107" t="str">
        <f t="shared" si="37"/>
        <v/>
      </c>
      <c r="W107">
        <f t="shared" ca="1" si="38"/>
        <v>-9999</v>
      </c>
      <c r="X107">
        <f ca="1">IF(M107="","",IFERROR(_xludf.MINIFS($N$5:$N$164,$M$5:$M$164,M107,$N$5:$N$164,"&gt;"&amp;N107,$P$5:$P$164,"&gt;-9999"),N107+20))</f>
        <v>125</v>
      </c>
      <c r="Y107">
        <f t="shared" ca="1" si="39"/>
        <v>20</v>
      </c>
      <c r="Z107" t="str">
        <f t="shared" si="40"/>
        <v/>
      </c>
      <c r="AA107" t="str">
        <f t="shared" si="41"/>
        <v>No</v>
      </c>
      <c r="AB107" t="str">
        <f t="shared" ca="1" si="42"/>
        <v>Yes</v>
      </c>
      <c r="AC107" t="str">
        <f t="shared" si="43"/>
        <v>Yes</v>
      </c>
      <c r="AD107" t="str">
        <f t="shared" ca="1" si="44"/>
        <v>No</v>
      </c>
    </row>
    <row r="108" spans="12:30">
      <c r="L108" t="str">
        <f>'Player Board'!B107</f>
        <v>Ricky Pearsall</v>
      </c>
      <c r="M108" t="str">
        <f>'Player Board'!C107</f>
        <v>WR</v>
      </c>
      <c r="N108">
        <f>'Player Board'!H107</f>
        <v>106</v>
      </c>
      <c r="O108">
        <f>'Player Board'!Q107</f>
        <v>45</v>
      </c>
      <c r="P108">
        <f>IF(NOT(AND('Player Board'!J107="No",'Player Board'!K107="No")),-9999,(325-N108*2)+((IF(M108="QB",INDEX('Manager Profiles'!$T$5:$T$12,MATCH($B$5,'Manager Profiles'!$A$5:$A$12,0)),IF(M108="RB",INDEX('Manager Profiles'!$U$5:$U$12,MATCH($B$5,'Manager Profiles'!$A$5:$A$12,0)),IF(M108="WR",INDEX('Manager Profiles'!$V$5:$V$12,MATCH($B$5,'Manager Profiles'!$A$5:$A$12,0)),IF(M108="TE",INDEX('Manager Profiles'!$W$5:$W$12,MATCH($B$5,'Manager Profiles'!$A$5:$A$12,0)),0)))))*3)+(IF($B$6="Contender",IF('Player Board'!R107="Veteran",12,IF('Player Board'!R107="Prime",7,IF('Player Board'!R107="Young",3,-4))),IF($B$6="Rebuilder",IF('Player Board'!R107="Rookie",15,IF('Player Board'!R107="Young",10,IF('Player Board'!R107="Prime",2,-15))),IF('Player Board'!R107="Veteran",-2,IF('Player Board'!R107="Rookie",4,2)))))+MAX(-20,MIN(20,($B$4-IF(O108="",N108,O108))*2))+(IFERROR(IF(INDEX('Player Board'!$F$4:$F$163,MATCH(N108+1,'Player Board'!$H$4:$H$163,0))&gt;'Player Board'!F107,8,0),0)))</f>
        <v>104</v>
      </c>
      <c r="Q108">
        <f t="shared" si="35"/>
        <v>104.0094</v>
      </c>
      <c r="R108">
        <f>IF(AND('Draft Tracker'!D107="Noah",'Draft Tracker'!A107&gt;$B$4),'Draft Tracker'!A107,9999)</f>
        <v>9999</v>
      </c>
      <c r="S108">
        <f>IF(M108="","",IF(M108="QB",INDEX('Manager Profiles'!$T$5:$T$12,MATCH("Noah",'Manager Profiles'!$A$5:$A$12,0)),IF(M108="RB",INDEX('Manager Profiles'!$U$5:$U$12,MATCH("Noah",'Manager Profiles'!$A$5:$A$12,0)),IF(M108="WR",INDEX('Manager Profiles'!$V$5:$V$12,MATCH("Noah",'Manager Profiles'!$A$5:$A$12,0)),IF(M108="TE",INDEX('Manager Profiles'!$W$5:$W$12,MATCH("Noah",'Manager Profiles'!$A$5:$A$12,0)),0)))))</f>
        <v>1</v>
      </c>
      <c r="T108">
        <f>IF(M108="","",IF(M108="QB",INDEX('Manager Profiles'!$T$5:$T$12,MATCH($B$5,'Manager Profiles'!$A$5:$A$12,0)),IF(M108="RB",INDEX('Manager Profiles'!$U$5:$U$12,MATCH($B$5,'Manager Profiles'!$A$5:$A$12,0)),IF(M108="WR",INDEX('Manager Profiles'!$V$5:$V$12,MATCH($B$5,'Manager Profiles'!$A$5:$A$12,0)),IF(M108="TE",INDEX('Manager Profiles'!$W$5:$W$12,MATCH($B$5,'Manager Profiles'!$A$5:$A$12,0)),0)))))</f>
        <v>3</v>
      </c>
      <c r="U108">
        <f t="shared" si="36"/>
        <v>-2</v>
      </c>
      <c r="V108">
        <f t="shared" si="37"/>
        <v>0</v>
      </c>
      <c r="W108">
        <f t="shared" ca="1" si="38"/>
        <v>-9999</v>
      </c>
      <c r="X108">
        <f ca="1">IF(M108="","",IFERROR(_xludf.MINIFS($N$5:$N$164,$M$5:$M$164,M108,$N$5:$N$164,"&gt;"&amp;N108,$P$5:$P$164,"&gt;-9999"),N108+20))</f>
        <v>126</v>
      </c>
      <c r="Y108">
        <f t="shared" ca="1" si="39"/>
        <v>20</v>
      </c>
      <c r="Z108">
        <f t="shared" si="40"/>
        <v>-44</v>
      </c>
      <c r="AA108" t="str">
        <f t="shared" si="41"/>
        <v>No</v>
      </c>
      <c r="AB108" t="str">
        <f t="shared" ca="1" si="42"/>
        <v>Yes</v>
      </c>
      <c r="AC108" t="str">
        <f t="shared" si="43"/>
        <v>No</v>
      </c>
      <c r="AD108" t="str">
        <f t="shared" ca="1" si="44"/>
        <v>No</v>
      </c>
    </row>
    <row r="109" spans="12:30">
      <c r="L109" t="str">
        <f>'Player Board'!B108</f>
        <v>Ty Simpson</v>
      </c>
      <c r="M109" t="str">
        <f>'Player Board'!C108</f>
        <v>QB</v>
      </c>
      <c r="N109">
        <f>'Player Board'!H108</f>
        <v>107</v>
      </c>
      <c r="O109">
        <f>'Player Board'!Q108</f>
        <v>46</v>
      </c>
      <c r="P109">
        <f>IF(NOT(AND('Player Board'!J108="No",'Player Board'!K108="No")),-9999,(325-N109*2)+((IF(M109="QB",INDEX('Manager Profiles'!$T$5:$T$12,MATCH($B$5,'Manager Profiles'!$A$5:$A$12,0)),IF(M109="RB",INDEX('Manager Profiles'!$U$5:$U$12,MATCH($B$5,'Manager Profiles'!$A$5:$A$12,0)),IF(M109="WR",INDEX('Manager Profiles'!$V$5:$V$12,MATCH($B$5,'Manager Profiles'!$A$5:$A$12,0)),IF(M109="TE",INDEX('Manager Profiles'!$W$5:$W$12,MATCH($B$5,'Manager Profiles'!$A$5:$A$12,0)),0)))))*3)+(IF($B$6="Contender",IF('Player Board'!R108="Veteran",12,IF('Player Board'!R108="Prime",7,IF('Player Board'!R108="Young",3,-4))),IF($B$6="Rebuilder",IF('Player Board'!R108="Rookie",15,IF('Player Board'!R108="Young",10,IF('Player Board'!R108="Prime",2,-15))),IF('Player Board'!R108="Veteran",-2,IF('Player Board'!R108="Rookie",4,2)))))+MAX(-20,MIN(20,($B$4-IF(O109="",N109,O109))*2))+(IFERROR(IF(INDEX('Player Board'!$F$4:$F$163,MATCH(N109+1,'Player Board'!$H$4:$H$163,0))&gt;'Player Board'!F108,8,0),0)))</f>
        <v>101</v>
      </c>
      <c r="Q109">
        <f t="shared" si="35"/>
        <v>101.0093</v>
      </c>
      <c r="R109">
        <f>IF(AND('Draft Tracker'!D108="Noah",'Draft Tracker'!A108&gt;$B$4),'Draft Tracker'!A108,9999)</f>
        <v>9999</v>
      </c>
      <c r="S109">
        <f>IF(M109="","",IF(M109="QB",INDEX('Manager Profiles'!$T$5:$T$12,MATCH("Noah",'Manager Profiles'!$A$5:$A$12,0)),IF(M109="RB",INDEX('Manager Profiles'!$U$5:$U$12,MATCH("Noah",'Manager Profiles'!$A$5:$A$12,0)),IF(M109="WR",INDEX('Manager Profiles'!$V$5:$V$12,MATCH("Noah",'Manager Profiles'!$A$5:$A$12,0)),IF(M109="TE",INDEX('Manager Profiles'!$W$5:$W$12,MATCH("Noah",'Manager Profiles'!$A$5:$A$12,0)),0)))))</f>
        <v>9</v>
      </c>
      <c r="T109">
        <f>IF(M109="","",IF(M109="QB",INDEX('Manager Profiles'!$T$5:$T$12,MATCH($B$5,'Manager Profiles'!$A$5:$A$12,0)),IF(M109="RB",INDEX('Manager Profiles'!$U$5:$U$12,MATCH($B$5,'Manager Profiles'!$A$5:$A$12,0)),IF(M109="WR",INDEX('Manager Profiles'!$V$5:$V$12,MATCH($B$5,'Manager Profiles'!$A$5:$A$12,0)),IF(M109="TE",INDEX('Manager Profiles'!$W$5:$W$12,MATCH($B$5,'Manager Profiles'!$A$5:$A$12,0)),0)))))</f>
        <v>2</v>
      </c>
      <c r="U109">
        <f t="shared" si="36"/>
        <v>7</v>
      </c>
      <c r="V109">
        <f t="shared" si="37"/>
        <v>0</v>
      </c>
      <c r="W109">
        <f t="shared" ca="1" si="38"/>
        <v>-9999</v>
      </c>
      <c r="X109">
        <f ca="1">IF(M109="","",IFERROR(_xludf.MINIFS($N$5:$N$164,$M$5:$M$164,M109,$N$5:$N$164,"&gt;"&amp;N109,$P$5:$P$164,"&gt;-9999"),N109+20))</f>
        <v>127</v>
      </c>
      <c r="Y109">
        <f t="shared" ca="1" si="39"/>
        <v>20</v>
      </c>
      <c r="Z109">
        <f t="shared" si="40"/>
        <v>-45</v>
      </c>
      <c r="AA109" t="str">
        <f t="shared" si="41"/>
        <v>No</v>
      </c>
      <c r="AB109" t="str">
        <f t="shared" ca="1" si="42"/>
        <v>Yes</v>
      </c>
      <c r="AC109" t="str">
        <f t="shared" si="43"/>
        <v>No</v>
      </c>
      <c r="AD109" t="str">
        <f t="shared" ca="1" si="44"/>
        <v>No</v>
      </c>
    </row>
    <row r="110" spans="12:30">
      <c r="L110" t="str">
        <f>'Player Board'!B109</f>
        <v>Davante Adams</v>
      </c>
      <c r="M110" t="str">
        <f>'Player Board'!C109</f>
        <v>WR</v>
      </c>
      <c r="N110">
        <f>'Player Board'!H109</f>
        <v>78</v>
      </c>
      <c r="O110">
        <f>'Player Board'!Q109</f>
        <v>21</v>
      </c>
      <c r="P110">
        <f>IF(NOT(AND('Player Board'!J109="No",'Player Board'!K109="No")),-9999,(325-N110*2)+((IF(M110="QB",INDEX('Manager Profiles'!$T$5:$T$12,MATCH($B$5,'Manager Profiles'!$A$5:$A$12,0)),IF(M110="RB",INDEX('Manager Profiles'!$U$5:$U$12,MATCH($B$5,'Manager Profiles'!$A$5:$A$12,0)),IF(M110="WR",INDEX('Manager Profiles'!$V$5:$V$12,MATCH($B$5,'Manager Profiles'!$A$5:$A$12,0)),IF(M110="TE",INDEX('Manager Profiles'!$W$5:$W$12,MATCH($B$5,'Manager Profiles'!$A$5:$A$12,0)),0)))))*3)+(IF($B$6="Contender",IF('Player Board'!R109="Veteran",12,IF('Player Board'!R109="Prime",7,IF('Player Board'!R109="Young",3,-4))),IF($B$6="Rebuilder",IF('Player Board'!R109="Rookie",15,IF('Player Board'!R109="Young",10,IF('Player Board'!R109="Prime",2,-15))),IF('Player Board'!R109="Veteran",-2,IF('Player Board'!R109="Rookie",4,2)))))+MAX(-20,MIN(20,($B$4-IF(O110="",N110,O110))*2))+(IFERROR(IF(INDEX('Player Board'!$F$4:$F$163,MATCH(N110+1,'Player Board'!$H$4:$H$163,0))&gt;'Player Board'!F109,8,0),0)))</f>
        <v>156</v>
      </c>
      <c r="Q110">
        <f t="shared" si="35"/>
        <v>156.01220000000001</v>
      </c>
      <c r="R110">
        <f>IF(AND('Draft Tracker'!D109="Noah",'Draft Tracker'!A109&gt;$B$4),'Draft Tracker'!A109,9999)</f>
        <v>9999</v>
      </c>
      <c r="S110">
        <f>IF(M110="","",IF(M110="QB",INDEX('Manager Profiles'!$T$5:$T$12,MATCH("Noah",'Manager Profiles'!$A$5:$A$12,0)),IF(M110="RB",INDEX('Manager Profiles'!$U$5:$U$12,MATCH("Noah",'Manager Profiles'!$A$5:$A$12,0)),IF(M110="WR",INDEX('Manager Profiles'!$V$5:$V$12,MATCH("Noah",'Manager Profiles'!$A$5:$A$12,0)),IF(M110="TE",INDEX('Manager Profiles'!$W$5:$W$12,MATCH("Noah",'Manager Profiles'!$A$5:$A$12,0)),0)))))</f>
        <v>1</v>
      </c>
      <c r="T110">
        <f>IF(M110="","",IF(M110="QB",INDEX('Manager Profiles'!$T$5:$T$12,MATCH($B$5,'Manager Profiles'!$A$5:$A$12,0)),IF(M110="RB",INDEX('Manager Profiles'!$U$5:$U$12,MATCH($B$5,'Manager Profiles'!$A$5:$A$12,0)),IF(M110="WR",INDEX('Manager Profiles'!$V$5:$V$12,MATCH($B$5,'Manager Profiles'!$A$5:$A$12,0)),IF(M110="TE",INDEX('Manager Profiles'!$W$5:$W$12,MATCH($B$5,'Manager Profiles'!$A$5:$A$12,0)),0)))))</f>
        <v>3</v>
      </c>
      <c r="U110">
        <f t="shared" si="36"/>
        <v>-2</v>
      </c>
      <c r="V110">
        <f t="shared" si="37"/>
        <v>0</v>
      </c>
      <c r="W110">
        <f t="shared" ca="1" si="38"/>
        <v>-9999</v>
      </c>
      <c r="X110">
        <f ca="1">IF(M110="","",IFERROR(_xludf.MINIFS($N$5:$N$164,$M$5:$M$164,M110,$N$5:$N$164,"&gt;"&amp;N110,$P$5:$P$164,"&gt;-9999"),N110+20))</f>
        <v>98</v>
      </c>
      <c r="Y110">
        <f t="shared" ca="1" si="39"/>
        <v>20</v>
      </c>
      <c r="Z110">
        <f t="shared" si="40"/>
        <v>-20</v>
      </c>
      <c r="AA110" t="str">
        <f t="shared" si="41"/>
        <v>No</v>
      </c>
      <c r="AB110" t="str">
        <f t="shared" ca="1" si="42"/>
        <v>Yes</v>
      </c>
      <c r="AC110" t="str">
        <f t="shared" si="43"/>
        <v>No</v>
      </c>
      <c r="AD110" t="str">
        <f t="shared" ca="1" si="44"/>
        <v>No</v>
      </c>
    </row>
    <row r="111" spans="12:30">
      <c r="L111" t="str">
        <f>'Player Board'!B110</f>
        <v>Denzel Boston</v>
      </c>
      <c r="M111" t="str">
        <f>'Player Board'!C110</f>
        <v>WR</v>
      </c>
      <c r="N111">
        <f>'Player Board'!H110</f>
        <v>108</v>
      </c>
      <c r="O111">
        <f>'Player Board'!Q110</f>
        <v>47</v>
      </c>
      <c r="P111">
        <f>IF(NOT(AND('Player Board'!J110="No",'Player Board'!K110="No")),-9999,(325-N111*2)+((IF(M111="QB",INDEX('Manager Profiles'!$T$5:$T$12,MATCH($B$5,'Manager Profiles'!$A$5:$A$12,0)),IF(M111="RB",INDEX('Manager Profiles'!$U$5:$U$12,MATCH($B$5,'Manager Profiles'!$A$5:$A$12,0)),IF(M111="WR",INDEX('Manager Profiles'!$V$5:$V$12,MATCH($B$5,'Manager Profiles'!$A$5:$A$12,0)),IF(M111="TE",INDEX('Manager Profiles'!$W$5:$W$12,MATCH($B$5,'Manager Profiles'!$A$5:$A$12,0)),0)))))*3)+(IF($B$6="Contender",IF('Player Board'!R110="Veteran",12,IF('Player Board'!R110="Prime",7,IF('Player Board'!R110="Young",3,-4))),IF($B$6="Rebuilder",IF('Player Board'!R110="Rookie",15,IF('Player Board'!R110="Young",10,IF('Player Board'!R110="Prime",2,-15))),IF('Player Board'!R110="Veteran",-2,IF('Player Board'!R110="Rookie",4,2)))))+MAX(-20,MIN(20,($B$4-IF(O111="",N111,O111))*2))+(IFERROR(IF(INDEX('Player Board'!$F$4:$F$163,MATCH(N111+1,'Player Board'!$H$4:$H$163,0))&gt;'Player Board'!F110,8,0),0)))</f>
        <v>102</v>
      </c>
      <c r="Q111">
        <f t="shared" si="35"/>
        <v>102.00920000000001</v>
      </c>
      <c r="R111">
        <f>IF(AND('Draft Tracker'!D110="Noah",'Draft Tracker'!A110&gt;$B$4),'Draft Tracker'!A110,9999)</f>
        <v>9999</v>
      </c>
      <c r="S111">
        <f>IF(M111="","",IF(M111="QB",INDEX('Manager Profiles'!$T$5:$T$12,MATCH("Noah",'Manager Profiles'!$A$5:$A$12,0)),IF(M111="RB",INDEX('Manager Profiles'!$U$5:$U$12,MATCH("Noah",'Manager Profiles'!$A$5:$A$12,0)),IF(M111="WR",INDEX('Manager Profiles'!$V$5:$V$12,MATCH("Noah",'Manager Profiles'!$A$5:$A$12,0)),IF(M111="TE",INDEX('Manager Profiles'!$W$5:$W$12,MATCH("Noah",'Manager Profiles'!$A$5:$A$12,0)),0)))))</f>
        <v>1</v>
      </c>
      <c r="T111">
        <f>IF(M111="","",IF(M111="QB",INDEX('Manager Profiles'!$T$5:$T$12,MATCH($B$5,'Manager Profiles'!$A$5:$A$12,0)),IF(M111="RB",INDEX('Manager Profiles'!$U$5:$U$12,MATCH($B$5,'Manager Profiles'!$A$5:$A$12,0)),IF(M111="WR",INDEX('Manager Profiles'!$V$5:$V$12,MATCH($B$5,'Manager Profiles'!$A$5:$A$12,0)),IF(M111="TE",INDEX('Manager Profiles'!$W$5:$W$12,MATCH($B$5,'Manager Profiles'!$A$5:$A$12,0)),0)))))</f>
        <v>3</v>
      </c>
      <c r="U111">
        <f t="shared" si="36"/>
        <v>-2</v>
      </c>
      <c r="V111">
        <f t="shared" si="37"/>
        <v>0</v>
      </c>
      <c r="W111">
        <f t="shared" ca="1" si="38"/>
        <v>-9999</v>
      </c>
      <c r="X111">
        <f ca="1">IF(M111="","",IFERROR(_xludf.MINIFS($N$5:$N$164,$M$5:$M$164,M111,$N$5:$N$164,"&gt;"&amp;N111,$P$5:$P$164,"&gt;-9999"),N111+20))</f>
        <v>128</v>
      </c>
      <c r="Y111">
        <f t="shared" ca="1" si="39"/>
        <v>20</v>
      </c>
      <c r="Z111">
        <f t="shared" si="40"/>
        <v>-46</v>
      </c>
      <c r="AA111" t="str">
        <f t="shared" si="41"/>
        <v>No</v>
      </c>
      <c r="AB111" t="str">
        <f t="shared" ca="1" si="42"/>
        <v>Yes</v>
      </c>
      <c r="AC111" t="str">
        <f t="shared" si="43"/>
        <v>No</v>
      </c>
      <c r="AD111" t="str">
        <f t="shared" ca="1" si="44"/>
        <v>No</v>
      </c>
    </row>
    <row r="112" spans="12:30">
      <c r="L112" t="str">
        <f>'Player Board'!B111</f>
        <v>David Montgomery</v>
      </c>
      <c r="M112" t="str">
        <f>'Player Board'!C111</f>
        <v>RB</v>
      </c>
      <c r="N112">
        <f>'Player Board'!H111</f>
        <v>109</v>
      </c>
      <c r="O112">
        <f>'Player Board'!Q111</f>
        <v>48</v>
      </c>
      <c r="P112">
        <f>IF(NOT(AND('Player Board'!J111="No",'Player Board'!K111="No")),-9999,(325-N112*2)+((IF(M112="QB",INDEX('Manager Profiles'!$T$5:$T$12,MATCH($B$5,'Manager Profiles'!$A$5:$A$12,0)),IF(M112="RB",INDEX('Manager Profiles'!$U$5:$U$12,MATCH($B$5,'Manager Profiles'!$A$5:$A$12,0)),IF(M112="WR",INDEX('Manager Profiles'!$V$5:$V$12,MATCH($B$5,'Manager Profiles'!$A$5:$A$12,0)),IF(M112="TE",INDEX('Manager Profiles'!$W$5:$W$12,MATCH($B$5,'Manager Profiles'!$A$5:$A$12,0)),0)))))*3)+(IF($B$6="Contender",IF('Player Board'!R111="Veteran",12,IF('Player Board'!R111="Prime",7,IF('Player Board'!R111="Young",3,-4))),IF($B$6="Rebuilder",IF('Player Board'!R111="Rookie",15,IF('Player Board'!R111="Young",10,IF('Player Board'!R111="Prime",2,-15))),IF('Player Board'!R111="Veteran",-2,IF('Player Board'!R111="Rookie",4,2)))))+MAX(-20,MIN(20,($B$4-IF(O112="",N112,O112))*2))+(IFERROR(IF(INDEX('Player Board'!$F$4:$F$163,MATCH(N112+1,'Player Board'!$H$4:$H$163,0))&gt;'Player Board'!F111,8,0),0)))</f>
        <v>112</v>
      </c>
      <c r="Q112">
        <f t="shared" si="35"/>
        <v>112.0091</v>
      </c>
      <c r="R112">
        <f>IF(AND('Draft Tracker'!D111="Noah",'Draft Tracker'!A111&gt;$B$4),'Draft Tracker'!A111,9999)</f>
        <v>9999</v>
      </c>
      <c r="S112">
        <f>IF(M112="","",IF(M112="QB",INDEX('Manager Profiles'!$T$5:$T$12,MATCH("Noah",'Manager Profiles'!$A$5:$A$12,0)),IF(M112="RB",INDEX('Manager Profiles'!$U$5:$U$12,MATCH("Noah",'Manager Profiles'!$A$5:$A$12,0)),IF(M112="WR",INDEX('Manager Profiles'!$V$5:$V$12,MATCH("Noah",'Manager Profiles'!$A$5:$A$12,0)),IF(M112="TE",INDEX('Manager Profiles'!$W$5:$W$12,MATCH("Noah",'Manager Profiles'!$A$5:$A$12,0)),0)))))</f>
        <v>4</v>
      </c>
      <c r="T112">
        <f>IF(M112="","",IF(M112="QB",INDEX('Manager Profiles'!$T$5:$T$12,MATCH($B$5,'Manager Profiles'!$A$5:$A$12,0)),IF(M112="RB",INDEX('Manager Profiles'!$U$5:$U$12,MATCH($B$5,'Manager Profiles'!$A$5:$A$12,0)),IF(M112="WR",INDEX('Manager Profiles'!$V$5:$V$12,MATCH($B$5,'Manager Profiles'!$A$5:$A$12,0)),IF(M112="TE",INDEX('Manager Profiles'!$W$5:$W$12,MATCH($B$5,'Manager Profiles'!$A$5:$A$12,0)),0)))))</f>
        <v>9</v>
      </c>
      <c r="U112">
        <f t="shared" si="36"/>
        <v>-5</v>
      </c>
      <c r="V112">
        <f t="shared" si="37"/>
        <v>0</v>
      </c>
      <c r="W112">
        <f t="shared" ca="1" si="38"/>
        <v>-9999</v>
      </c>
      <c r="X112">
        <f ca="1">IF(M112="","",IFERROR(_xludf.MINIFS($N$5:$N$164,$M$5:$M$164,M112,$N$5:$N$164,"&gt;"&amp;N112,$P$5:$P$164,"&gt;-9999"),N112+20))</f>
        <v>129</v>
      </c>
      <c r="Y112">
        <f t="shared" ca="1" si="39"/>
        <v>20</v>
      </c>
      <c r="Z112">
        <f t="shared" si="40"/>
        <v>-47</v>
      </c>
      <c r="AA112" t="str">
        <f t="shared" si="41"/>
        <v>No</v>
      </c>
      <c r="AB112" t="str">
        <f t="shared" ca="1" si="42"/>
        <v>Yes</v>
      </c>
      <c r="AC112" t="str">
        <f t="shared" si="43"/>
        <v>No</v>
      </c>
      <c r="AD112" t="str">
        <f t="shared" ca="1" si="44"/>
        <v>No</v>
      </c>
    </row>
    <row r="113" spans="12:30">
      <c r="L113" t="str">
        <f>'Player Board'!B112</f>
        <v>Kyle Monangai</v>
      </c>
      <c r="M113" t="str">
        <f>'Player Board'!C112</f>
        <v>RB</v>
      </c>
      <c r="N113">
        <f>'Player Board'!H112</f>
        <v>111</v>
      </c>
      <c r="O113">
        <f>'Player Board'!Q112</f>
        <v>50</v>
      </c>
      <c r="P113">
        <f>IF(NOT(AND('Player Board'!J112="No",'Player Board'!K112="No")),-9999,(325-N113*2)+((IF(M113="QB",INDEX('Manager Profiles'!$T$5:$T$12,MATCH($B$5,'Manager Profiles'!$A$5:$A$12,0)),IF(M113="RB",INDEX('Manager Profiles'!$U$5:$U$12,MATCH($B$5,'Manager Profiles'!$A$5:$A$12,0)),IF(M113="WR",INDEX('Manager Profiles'!$V$5:$V$12,MATCH($B$5,'Manager Profiles'!$A$5:$A$12,0)),IF(M113="TE",INDEX('Manager Profiles'!$W$5:$W$12,MATCH($B$5,'Manager Profiles'!$A$5:$A$12,0)),0)))))*3)+(IF($B$6="Contender",IF('Player Board'!R112="Veteran",12,IF('Player Board'!R112="Prime",7,IF('Player Board'!R112="Young",3,-4))),IF($B$6="Rebuilder",IF('Player Board'!R112="Rookie",15,IF('Player Board'!R112="Young",10,IF('Player Board'!R112="Prime",2,-15))),IF('Player Board'!R112="Veteran",-2,IF('Player Board'!R112="Rookie",4,2)))))+MAX(-20,MIN(20,($B$4-IF(O113="",N113,O113))*2))+(IFERROR(IF(INDEX('Player Board'!$F$4:$F$163,MATCH(N113+1,'Player Board'!$H$4:$H$163,0))&gt;'Player Board'!F112,8,0),0)))</f>
        <v>112</v>
      </c>
      <c r="Q113">
        <f t="shared" si="35"/>
        <v>112.0089</v>
      </c>
      <c r="R113">
        <f>IF(AND('Draft Tracker'!D112="Noah",'Draft Tracker'!A112&gt;$B$4),'Draft Tracker'!A112,9999)</f>
        <v>9999</v>
      </c>
      <c r="S113">
        <f>IF(M113="","",IF(M113="QB",INDEX('Manager Profiles'!$T$5:$T$12,MATCH("Noah",'Manager Profiles'!$A$5:$A$12,0)),IF(M113="RB",INDEX('Manager Profiles'!$U$5:$U$12,MATCH("Noah",'Manager Profiles'!$A$5:$A$12,0)),IF(M113="WR",INDEX('Manager Profiles'!$V$5:$V$12,MATCH("Noah",'Manager Profiles'!$A$5:$A$12,0)),IF(M113="TE",INDEX('Manager Profiles'!$W$5:$W$12,MATCH("Noah",'Manager Profiles'!$A$5:$A$12,0)),0)))))</f>
        <v>4</v>
      </c>
      <c r="T113">
        <f>IF(M113="","",IF(M113="QB",INDEX('Manager Profiles'!$T$5:$T$12,MATCH($B$5,'Manager Profiles'!$A$5:$A$12,0)),IF(M113="RB",INDEX('Manager Profiles'!$U$5:$U$12,MATCH($B$5,'Manager Profiles'!$A$5:$A$12,0)),IF(M113="WR",INDEX('Manager Profiles'!$V$5:$V$12,MATCH($B$5,'Manager Profiles'!$A$5:$A$12,0)),IF(M113="TE",INDEX('Manager Profiles'!$W$5:$W$12,MATCH($B$5,'Manager Profiles'!$A$5:$A$12,0)),0)))))</f>
        <v>9</v>
      </c>
      <c r="U113">
        <f t="shared" si="36"/>
        <v>-5</v>
      </c>
      <c r="V113">
        <f t="shared" si="37"/>
        <v>0</v>
      </c>
      <c r="W113">
        <f t="shared" ca="1" si="38"/>
        <v>-9999</v>
      </c>
      <c r="X113">
        <f ca="1">IF(M113="","",IFERROR(_xludf.MINIFS($N$5:$N$164,$M$5:$M$164,M113,$N$5:$N$164,"&gt;"&amp;N113,$P$5:$P$164,"&gt;-9999"),N113+20))</f>
        <v>131</v>
      </c>
      <c r="Y113">
        <f t="shared" ca="1" si="39"/>
        <v>20</v>
      </c>
      <c r="Z113">
        <f t="shared" si="40"/>
        <v>-49</v>
      </c>
      <c r="AA113" t="str">
        <f t="shared" si="41"/>
        <v>No</v>
      </c>
      <c r="AB113" t="str">
        <f t="shared" ca="1" si="42"/>
        <v>Yes</v>
      </c>
      <c r="AC113" t="str">
        <f t="shared" si="43"/>
        <v>No</v>
      </c>
      <c r="AD113" t="str">
        <f t="shared" ca="1" si="44"/>
        <v>No</v>
      </c>
    </row>
    <row r="114" spans="12:30">
      <c r="L114" t="str">
        <f>'Player Board'!B113</f>
        <v>DK Metcalf</v>
      </c>
      <c r="M114" t="str">
        <f>'Player Board'!C113</f>
        <v>WR</v>
      </c>
      <c r="N114">
        <f>'Player Board'!H113</f>
        <v>112</v>
      </c>
      <c r="O114">
        <f>'Player Board'!Q113</f>
        <v>51</v>
      </c>
      <c r="P114">
        <f>IF(NOT(AND('Player Board'!J113="No",'Player Board'!K113="No")),-9999,(325-N114*2)+((IF(M114="QB",INDEX('Manager Profiles'!$T$5:$T$12,MATCH($B$5,'Manager Profiles'!$A$5:$A$12,0)),IF(M114="RB",INDEX('Manager Profiles'!$U$5:$U$12,MATCH($B$5,'Manager Profiles'!$A$5:$A$12,0)),IF(M114="WR",INDEX('Manager Profiles'!$V$5:$V$12,MATCH($B$5,'Manager Profiles'!$A$5:$A$12,0)),IF(M114="TE",INDEX('Manager Profiles'!$W$5:$W$12,MATCH($B$5,'Manager Profiles'!$A$5:$A$12,0)),0)))))*3)+(IF($B$6="Contender",IF('Player Board'!R113="Veteran",12,IF('Player Board'!R113="Prime",7,IF('Player Board'!R113="Young",3,-4))),IF($B$6="Rebuilder",IF('Player Board'!R113="Rookie",15,IF('Player Board'!R113="Young",10,IF('Player Board'!R113="Prime",2,-15))),IF('Player Board'!R113="Veteran",-2,IF('Player Board'!R113="Rookie",4,2)))))+MAX(-20,MIN(20,($B$4-IF(O114="",N114,O114))*2))+(IFERROR(IF(INDEX('Player Board'!$F$4:$F$163,MATCH(N114+1,'Player Board'!$H$4:$H$163,0))&gt;'Player Board'!F113,8,0),0)))</f>
        <v>88</v>
      </c>
      <c r="Q114">
        <f t="shared" si="35"/>
        <v>88.008799999999994</v>
      </c>
      <c r="R114">
        <f>IF(AND('Draft Tracker'!D113="Noah",'Draft Tracker'!A113&gt;$B$4),'Draft Tracker'!A113,9999)</f>
        <v>9999</v>
      </c>
      <c r="S114">
        <f>IF(M114="","",IF(M114="QB",INDEX('Manager Profiles'!$T$5:$T$12,MATCH("Noah",'Manager Profiles'!$A$5:$A$12,0)),IF(M114="RB",INDEX('Manager Profiles'!$U$5:$U$12,MATCH("Noah",'Manager Profiles'!$A$5:$A$12,0)),IF(M114="WR",INDEX('Manager Profiles'!$V$5:$V$12,MATCH("Noah",'Manager Profiles'!$A$5:$A$12,0)),IF(M114="TE",INDEX('Manager Profiles'!$W$5:$W$12,MATCH("Noah",'Manager Profiles'!$A$5:$A$12,0)),0)))))</f>
        <v>1</v>
      </c>
      <c r="T114">
        <f>IF(M114="","",IF(M114="QB",INDEX('Manager Profiles'!$T$5:$T$12,MATCH($B$5,'Manager Profiles'!$A$5:$A$12,0)),IF(M114="RB",INDEX('Manager Profiles'!$U$5:$U$12,MATCH($B$5,'Manager Profiles'!$A$5:$A$12,0)),IF(M114="WR",INDEX('Manager Profiles'!$V$5:$V$12,MATCH($B$5,'Manager Profiles'!$A$5:$A$12,0)),IF(M114="TE",INDEX('Manager Profiles'!$W$5:$W$12,MATCH($B$5,'Manager Profiles'!$A$5:$A$12,0)),0)))))</f>
        <v>3</v>
      </c>
      <c r="U114">
        <f t="shared" si="36"/>
        <v>-2</v>
      </c>
      <c r="V114">
        <f t="shared" si="37"/>
        <v>0</v>
      </c>
      <c r="W114">
        <f t="shared" ca="1" si="38"/>
        <v>-9999</v>
      </c>
      <c r="X114">
        <f ca="1">IF(M114="","",IFERROR(_xludf.MINIFS($N$5:$N$164,$M$5:$M$164,M114,$N$5:$N$164,"&gt;"&amp;N114,$P$5:$P$164,"&gt;-9999"),N114+20))</f>
        <v>132</v>
      </c>
      <c r="Y114">
        <f t="shared" ca="1" si="39"/>
        <v>20</v>
      </c>
      <c r="Z114">
        <f t="shared" si="40"/>
        <v>-50</v>
      </c>
      <c r="AA114" t="str">
        <f t="shared" si="41"/>
        <v>No</v>
      </c>
      <c r="AB114" t="str">
        <f t="shared" ca="1" si="42"/>
        <v>Yes</v>
      </c>
      <c r="AC114" t="str">
        <f t="shared" si="43"/>
        <v>No</v>
      </c>
      <c r="AD114" t="str">
        <f t="shared" ca="1" si="44"/>
        <v>No</v>
      </c>
    </row>
    <row r="115" spans="12:30">
      <c r="L115" t="str">
        <f>'Player Board'!B114</f>
        <v>Isaiah Likely</v>
      </c>
      <c r="M115" t="str">
        <f>'Player Board'!C114</f>
        <v>TE</v>
      </c>
      <c r="N115">
        <f>'Player Board'!H114</f>
        <v>113</v>
      </c>
      <c r="O115">
        <f>'Player Board'!Q114</f>
        <v>52</v>
      </c>
      <c r="P115">
        <f>IF(NOT(AND('Player Board'!J114="No",'Player Board'!K114="No")),-9999,(325-N115*2)+((IF(M115="QB",INDEX('Manager Profiles'!$T$5:$T$12,MATCH($B$5,'Manager Profiles'!$A$5:$A$12,0)),IF(M115="RB",INDEX('Manager Profiles'!$U$5:$U$12,MATCH($B$5,'Manager Profiles'!$A$5:$A$12,0)),IF(M115="WR",INDEX('Manager Profiles'!$V$5:$V$12,MATCH($B$5,'Manager Profiles'!$A$5:$A$12,0)),IF(M115="TE",INDEX('Manager Profiles'!$W$5:$W$12,MATCH($B$5,'Manager Profiles'!$A$5:$A$12,0)),0)))))*3)+(IF($B$6="Contender",IF('Player Board'!R114="Veteran",12,IF('Player Board'!R114="Prime",7,IF('Player Board'!R114="Young",3,-4))),IF($B$6="Rebuilder",IF('Player Board'!R114="Rookie",15,IF('Player Board'!R114="Young",10,IF('Player Board'!R114="Prime",2,-15))),IF('Player Board'!R114="Veteran",-2,IF('Player Board'!R114="Rookie",4,2)))))+MAX(-20,MIN(20,($B$4-IF(O115="",N115,O115))*2))+(IFERROR(IF(INDEX('Player Board'!$F$4:$F$163,MATCH(N115+1,'Player Board'!$H$4:$H$163,0))&gt;'Player Board'!F114,8,0),0)))</f>
        <v>90</v>
      </c>
      <c r="Q115">
        <f t="shared" si="35"/>
        <v>90.008700000000005</v>
      </c>
      <c r="R115">
        <f>IF(AND('Draft Tracker'!D114="Noah",'Draft Tracker'!A114&gt;$B$4),'Draft Tracker'!A114,9999)</f>
        <v>9999</v>
      </c>
      <c r="S115">
        <f>IF(M115="","",IF(M115="QB",INDEX('Manager Profiles'!$T$5:$T$12,MATCH("Noah",'Manager Profiles'!$A$5:$A$12,0)),IF(M115="RB",INDEX('Manager Profiles'!$U$5:$U$12,MATCH("Noah",'Manager Profiles'!$A$5:$A$12,0)),IF(M115="WR",INDEX('Manager Profiles'!$V$5:$V$12,MATCH("Noah",'Manager Profiles'!$A$5:$A$12,0)),IF(M115="TE",INDEX('Manager Profiles'!$W$5:$W$12,MATCH("Noah",'Manager Profiles'!$A$5:$A$12,0)),0)))))</f>
        <v>7</v>
      </c>
      <c r="T115">
        <f>IF(M115="","",IF(M115="QB",INDEX('Manager Profiles'!$T$5:$T$12,MATCH($B$5,'Manager Profiles'!$A$5:$A$12,0)),IF(M115="RB",INDEX('Manager Profiles'!$U$5:$U$12,MATCH($B$5,'Manager Profiles'!$A$5:$A$12,0)),IF(M115="WR",INDEX('Manager Profiles'!$V$5:$V$12,MATCH($B$5,'Manager Profiles'!$A$5:$A$12,0)),IF(M115="TE",INDEX('Manager Profiles'!$W$5:$W$12,MATCH($B$5,'Manager Profiles'!$A$5:$A$12,0)),0)))))</f>
        <v>3</v>
      </c>
      <c r="U115">
        <f t="shared" si="36"/>
        <v>4</v>
      </c>
      <c r="V115">
        <f t="shared" si="37"/>
        <v>0</v>
      </c>
      <c r="W115">
        <f t="shared" ca="1" si="38"/>
        <v>-9999</v>
      </c>
      <c r="X115">
        <f ca="1">IF(M115="","",IFERROR(_xludf.MINIFS($N$5:$N$164,$M$5:$M$164,M115,$N$5:$N$164,"&gt;"&amp;N115,$P$5:$P$164,"&gt;-9999"),N115+20))</f>
        <v>133</v>
      </c>
      <c r="Y115">
        <f t="shared" ca="1" si="39"/>
        <v>20</v>
      </c>
      <c r="Z115">
        <f t="shared" si="40"/>
        <v>-51</v>
      </c>
      <c r="AA115" t="str">
        <f t="shared" si="41"/>
        <v>No</v>
      </c>
      <c r="AB115" t="str">
        <f t="shared" ca="1" si="42"/>
        <v>Yes</v>
      </c>
      <c r="AC115" t="str">
        <f t="shared" si="43"/>
        <v>No</v>
      </c>
      <c r="AD115" t="str">
        <f t="shared" ca="1" si="44"/>
        <v>No</v>
      </c>
    </row>
    <row r="116" spans="12:30">
      <c r="L116" t="str">
        <f>'Player Board'!B115</f>
        <v>Wan'Dale Robinson</v>
      </c>
      <c r="M116" t="str">
        <f>'Player Board'!C115</f>
        <v>WR</v>
      </c>
      <c r="N116">
        <f>'Player Board'!H115</f>
        <v>114</v>
      </c>
      <c r="O116">
        <f>'Player Board'!Q115</f>
        <v>53</v>
      </c>
      <c r="P116">
        <f>IF(NOT(AND('Player Board'!J115="No",'Player Board'!K115="No")),-9999,(325-N116*2)+((IF(M116="QB",INDEX('Manager Profiles'!$T$5:$T$12,MATCH($B$5,'Manager Profiles'!$A$5:$A$12,0)),IF(M116="RB",INDEX('Manager Profiles'!$U$5:$U$12,MATCH($B$5,'Manager Profiles'!$A$5:$A$12,0)),IF(M116="WR",INDEX('Manager Profiles'!$V$5:$V$12,MATCH($B$5,'Manager Profiles'!$A$5:$A$12,0)),IF(M116="TE",INDEX('Manager Profiles'!$W$5:$W$12,MATCH($B$5,'Manager Profiles'!$A$5:$A$12,0)),0)))))*3)+(IF($B$6="Contender",IF('Player Board'!R115="Veteran",12,IF('Player Board'!R115="Prime",7,IF('Player Board'!R115="Young",3,-4))),IF($B$6="Rebuilder",IF('Player Board'!R115="Rookie",15,IF('Player Board'!R115="Young",10,IF('Player Board'!R115="Prime",2,-15))),IF('Player Board'!R115="Veteran",-2,IF('Player Board'!R115="Rookie",4,2)))))+MAX(-20,MIN(20,($B$4-IF(O116="",N116,O116))*2))+(IFERROR(IF(INDEX('Player Board'!$F$4:$F$163,MATCH(N116+1,'Player Board'!$H$4:$H$163,0))&gt;'Player Board'!F115,8,0),0)))</f>
        <v>88</v>
      </c>
      <c r="Q116">
        <f t="shared" si="35"/>
        <v>88.008600000000001</v>
      </c>
      <c r="R116">
        <f>IF(AND('Draft Tracker'!D115="Noah",'Draft Tracker'!A115&gt;$B$4),'Draft Tracker'!A115,9999)</f>
        <v>9999</v>
      </c>
      <c r="S116">
        <f>IF(M116="","",IF(M116="QB",INDEX('Manager Profiles'!$T$5:$T$12,MATCH("Noah",'Manager Profiles'!$A$5:$A$12,0)),IF(M116="RB",INDEX('Manager Profiles'!$U$5:$U$12,MATCH("Noah",'Manager Profiles'!$A$5:$A$12,0)),IF(M116="WR",INDEX('Manager Profiles'!$V$5:$V$12,MATCH("Noah",'Manager Profiles'!$A$5:$A$12,0)),IF(M116="TE",INDEX('Manager Profiles'!$W$5:$W$12,MATCH("Noah",'Manager Profiles'!$A$5:$A$12,0)),0)))))</f>
        <v>1</v>
      </c>
      <c r="T116">
        <f>IF(M116="","",IF(M116="QB",INDEX('Manager Profiles'!$T$5:$T$12,MATCH($B$5,'Manager Profiles'!$A$5:$A$12,0)),IF(M116="RB",INDEX('Manager Profiles'!$U$5:$U$12,MATCH($B$5,'Manager Profiles'!$A$5:$A$12,0)),IF(M116="WR",INDEX('Manager Profiles'!$V$5:$V$12,MATCH($B$5,'Manager Profiles'!$A$5:$A$12,0)),IF(M116="TE",INDEX('Manager Profiles'!$W$5:$W$12,MATCH($B$5,'Manager Profiles'!$A$5:$A$12,0)),0)))))</f>
        <v>3</v>
      </c>
      <c r="U116">
        <f t="shared" si="36"/>
        <v>-2</v>
      </c>
      <c r="V116">
        <f t="shared" si="37"/>
        <v>0</v>
      </c>
      <c r="W116">
        <f t="shared" ca="1" si="38"/>
        <v>-9999</v>
      </c>
      <c r="X116">
        <f ca="1">IF(M116="","",IFERROR(_xludf.MINIFS($N$5:$N$164,$M$5:$M$164,M116,$N$5:$N$164,"&gt;"&amp;N116,$P$5:$P$164,"&gt;-9999"),N116+20))</f>
        <v>134</v>
      </c>
      <c r="Y116">
        <f t="shared" ca="1" si="39"/>
        <v>20</v>
      </c>
      <c r="Z116">
        <f t="shared" si="40"/>
        <v>-52</v>
      </c>
      <c r="AA116" t="str">
        <f t="shared" si="41"/>
        <v>No</v>
      </c>
      <c r="AB116" t="str">
        <f t="shared" ca="1" si="42"/>
        <v>Yes</v>
      </c>
      <c r="AC116" t="str">
        <f t="shared" si="43"/>
        <v>No</v>
      </c>
      <c r="AD116" t="str">
        <f t="shared" ca="1" si="44"/>
        <v>No</v>
      </c>
    </row>
    <row r="117" spans="12:30">
      <c r="L117" t="str">
        <f>'Player Board'!B116</f>
        <v>Eli Stowers</v>
      </c>
      <c r="M117" t="str">
        <f>'Player Board'!C116</f>
        <v>TE</v>
      </c>
      <c r="N117">
        <f>'Player Board'!H116</f>
        <v>115</v>
      </c>
      <c r="O117">
        <f>'Player Board'!Q116</f>
        <v>54</v>
      </c>
      <c r="P117">
        <f>IF(NOT(AND('Player Board'!J116="No",'Player Board'!K116="No")),-9999,(325-N117*2)+((IF(M117="QB",INDEX('Manager Profiles'!$T$5:$T$12,MATCH($B$5,'Manager Profiles'!$A$5:$A$12,0)),IF(M117="RB",INDEX('Manager Profiles'!$U$5:$U$12,MATCH($B$5,'Manager Profiles'!$A$5:$A$12,0)),IF(M117="WR",INDEX('Manager Profiles'!$V$5:$V$12,MATCH($B$5,'Manager Profiles'!$A$5:$A$12,0)),IF(M117="TE",INDEX('Manager Profiles'!$W$5:$W$12,MATCH($B$5,'Manager Profiles'!$A$5:$A$12,0)),0)))))*3)+(IF($B$6="Contender",IF('Player Board'!R116="Veteran",12,IF('Player Board'!R116="Prime",7,IF('Player Board'!R116="Young",3,-4))),IF($B$6="Rebuilder",IF('Player Board'!R116="Rookie",15,IF('Player Board'!R116="Young",10,IF('Player Board'!R116="Prime",2,-15))),IF('Player Board'!R116="Veteran",-2,IF('Player Board'!R116="Rookie",4,2)))))+MAX(-20,MIN(20,($B$4-IF(O117="",N117,O117))*2))+(IFERROR(IF(INDEX('Player Board'!$F$4:$F$163,MATCH(N117+1,'Player Board'!$H$4:$H$163,0))&gt;'Player Board'!F116,8,0),0)))</f>
        <v>88</v>
      </c>
      <c r="Q117">
        <f t="shared" si="35"/>
        <v>88.008499999999998</v>
      </c>
      <c r="R117">
        <f>IF(AND('Draft Tracker'!D116="Noah",'Draft Tracker'!A116&gt;$B$4),'Draft Tracker'!A116,9999)</f>
        <v>9999</v>
      </c>
      <c r="S117">
        <f>IF(M117="","",IF(M117="QB",INDEX('Manager Profiles'!$T$5:$T$12,MATCH("Noah",'Manager Profiles'!$A$5:$A$12,0)),IF(M117="RB",INDEX('Manager Profiles'!$U$5:$U$12,MATCH("Noah",'Manager Profiles'!$A$5:$A$12,0)),IF(M117="WR",INDEX('Manager Profiles'!$V$5:$V$12,MATCH("Noah",'Manager Profiles'!$A$5:$A$12,0)),IF(M117="TE",INDEX('Manager Profiles'!$W$5:$W$12,MATCH("Noah",'Manager Profiles'!$A$5:$A$12,0)),0)))))</f>
        <v>7</v>
      </c>
      <c r="T117">
        <f>IF(M117="","",IF(M117="QB",INDEX('Manager Profiles'!$T$5:$T$12,MATCH($B$5,'Manager Profiles'!$A$5:$A$12,0)),IF(M117="RB",INDEX('Manager Profiles'!$U$5:$U$12,MATCH($B$5,'Manager Profiles'!$A$5:$A$12,0)),IF(M117="WR",INDEX('Manager Profiles'!$V$5:$V$12,MATCH($B$5,'Manager Profiles'!$A$5:$A$12,0)),IF(M117="TE",INDEX('Manager Profiles'!$W$5:$W$12,MATCH($B$5,'Manager Profiles'!$A$5:$A$12,0)),0)))))</f>
        <v>3</v>
      </c>
      <c r="U117">
        <f t="shared" si="36"/>
        <v>4</v>
      </c>
      <c r="V117">
        <f t="shared" si="37"/>
        <v>0</v>
      </c>
      <c r="W117">
        <f t="shared" ca="1" si="38"/>
        <v>-9999</v>
      </c>
      <c r="X117">
        <f ca="1">IF(M117="","",IFERROR(_xludf.MINIFS($N$5:$N$164,$M$5:$M$164,M117,$N$5:$N$164,"&gt;"&amp;N117,$P$5:$P$164,"&gt;-9999"),N117+20))</f>
        <v>135</v>
      </c>
      <c r="Y117">
        <f t="shared" ca="1" si="39"/>
        <v>20</v>
      </c>
      <c r="Z117">
        <f t="shared" si="40"/>
        <v>-53</v>
      </c>
      <c r="AA117" t="str">
        <f t="shared" si="41"/>
        <v>No</v>
      </c>
      <c r="AB117" t="str">
        <f t="shared" ca="1" si="42"/>
        <v>Yes</v>
      </c>
      <c r="AC117" t="str">
        <f t="shared" si="43"/>
        <v>No</v>
      </c>
      <c r="AD117" t="str">
        <f t="shared" ca="1" si="44"/>
        <v>No</v>
      </c>
    </row>
    <row r="118" spans="12:30">
      <c r="L118" t="str">
        <f>'Player Board'!B117</f>
        <v>Michael Pittman Jr.</v>
      </c>
      <c r="M118" t="str">
        <f>'Player Board'!C117</f>
        <v>WR</v>
      </c>
      <c r="N118">
        <f>'Player Board'!H117</f>
        <v>116</v>
      </c>
      <c r="O118">
        <f>'Player Board'!Q117</f>
        <v>55</v>
      </c>
      <c r="P118">
        <f>IF(NOT(AND('Player Board'!J117="No",'Player Board'!K117="No")),-9999,(325-N118*2)+((IF(M118="QB",INDEX('Manager Profiles'!$T$5:$T$12,MATCH($B$5,'Manager Profiles'!$A$5:$A$12,0)),IF(M118="RB",INDEX('Manager Profiles'!$U$5:$U$12,MATCH($B$5,'Manager Profiles'!$A$5:$A$12,0)),IF(M118="WR",INDEX('Manager Profiles'!$V$5:$V$12,MATCH($B$5,'Manager Profiles'!$A$5:$A$12,0)),IF(M118="TE",INDEX('Manager Profiles'!$W$5:$W$12,MATCH($B$5,'Manager Profiles'!$A$5:$A$12,0)),0)))))*3)+(IF($B$6="Contender",IF('Player Board'!R117="Veteran",12,IF('Player Board'!R117="Prime",7,IF('Player Board'!R117="Young",3,-4))),IF($B$6="Rebuilder",IF('Player Board'!R117="Rookie",15,IF('Player Board'!R117="Young",10,IF('Player Board'!R117="Prime",2,-15))),IF('Player Board'!R117="Veteran",-2,IF('Player Board'!R117="Rookie",4,2)))))+MAX(-20,MIN(20,($B$4-IF(O118="",N118,O118))*2))+(IFERROR(IF(INDEX('Player Board'!$F$4:$F$163,MATCH(N118+1,'Player Board'!$H$4:$H$163,0))&gt;'Player Board'!F117,8,0),0)))</f>
        <v>84</v>
      </c>
      <c r="Q118">
        <f t="shared" si="35"/>
        <v>84.008399999999995</v>
      </c>
      <c r="R118">
        <f>IF(AND('Draft Tracker'!D117="Noah",'Draft Tracker'!A117&gt;$B$4),'Draft Tracker'!A117,9999)</f>
        <v>9999</v>
      </c>
      <c r="S118">
        <f>IF(M118="","",IF(M118="QB",INDEX('Manager Profiles'!$T$5:$T$12,MATCH("Noah",'Manager Profiles'!$A$5:$A$12,0)),IF(M118="RB",INDEX('Manager Profiles'!$U$5:$U$12,MATCH("Noah",'Manager Profiles'!$A$5:$A$12,0)),IF(M118="WR",INDEX('Manager Profiles'!$V$5:$V$12,MATCH("Noah",'Manager Profiles'!$A$5:$A$12,0)),IF(M118="TE",INDEX('Manager Profiles'!$W$5:$W$12,MATCH("Noah",'Manager Profiles'!$A$5:$A$12,0)),0)))))</f>
        <v>1</v>
      </c>
      <c r="T118">
        <f>IF(M118="","",IF(M118="QB",INDEX('Manager Profiles'!$T$5:$T$12,MATCH($B$5,'Manager Profiles'!$A$5:$A$12,0)),IF(M118="RB",INDEX('Manager Profiles'!$U$5:$U$12,MATCH($B$5,'Manager Profiles'!$A$5:$A$12,0)),IF(M118="WR",INDEX('Manager Profiles'!$V$5:$V$12,MATCH($B$5,'Manager Profiles'!$A$5:$A$12,0)),IF(M118="TE",INDEX('Manager Profiles'!$W$5:$W$12,MATCH($B$5,'Manager Profiles'!$A$5:$A$12,0)),0)))))</f>
        <v>3</v>
      </c>
      <c r="U118">
        <f t="shared" si="36"/>
        <v>-2</v>
      </c>
      <c r="V118">
        <f t="shared" si="37"/>
        <v>0</v>
      </c>
      <c r="W118">
        <f t="shared" ca="1" si="38"/>
        <v>-9999</v>
      </c>
      <c r="X118">
        <f ca="1">IF(M118="","",IFERROR(_xludf.MINIFS($N$5:$N$164,$M$5:$M$164,M118,$N$5:$N$164,"&gt;"&amp;N118,$P$5:$P$164,"&gt;-9999"),N118+20))</f>
        <v>136</v>
      </c>
      <c r="Y118">
        <f t="shared" ca="1" si="39"/>
        <v>20</v>
      </c>
      <c r="Z118">
        <f t="shared" si="40"/>
        <v>-54</v>
      </c>
      <c r="AA118" t="str">
        <f t="shared" si="41"/>
        <v>No</v>
      </c>
      <c r="AB118" t="str">
        <f t="shared" ca="1" si="42"/>
        <v>Yes</v>
      </c>
      <c r="AC118" t="str">
        <f t="shared" si="43"/>
        <v>No</v>
      </c>
      <c r="AD118" t="str">
        <f t="shared" ca="1" si="44"/>
        <v>No</v>
      </c>
    </row>
    <row r="119" spans="12:30">
      <c r="L119" t="str">
        <f>'Player Board'!B118</f>
        <v>Jayden Higgins</v>
      </c>
      <c r="M119" t="str">
        <f>'Player Board'!C118</f>
        <v>WR</v>
      </c>
      <c r="N119">
        <f>'Player Board'!H118</f>
        <v>117</v>
      </c>
      <c r="O119">
        <f>'Player Board'!Q118</f>
        <v>56</v>
      </c>
      <c r="P119">
        <f>IF(NOT(AND('Player Board'!J118="No",'Player Board'!K118="No")),-9999,(325-N119*2)+((IF(M119="QB",INDEX('Manager Profiles'!$T$5:$T$12,MATCH($B$5,'Manager Profiles'!$A$5:$A$12,0)),IF(M119="RB",INDEX('Manager Profiles'!$U$5:$U$12,MATCH($B$5,'Manager Profiles'!$A$5:$A$12,0)),IF(M119="WR",INDEX('Manager Profiles'!$V$5:$V$12,MATCH($B$5,'Manager Profiles'!$A$5:$A$12,0)),IF(M119="TE",INDEX('Manager Profiles'!$W$5:$W$12,MATCH($B$5,'Manager Profiles'!$A$5:$A$12,0)),0)))))*3)+(IF($B$6="Contender",IF('Player Board'!R118="Veteran",12,IF('Player Board'!R118="Prime",7,IF('Player Board'!R118="Young",3,-4))),IF($B$6="Rebuilder",IF('Player Board'!R118="Rookie",15,IF('Player Board'!R118="Young",10,IF('Player Board'!R118="Prime",2,-15))),IF('Player Board'!R118="Veteran",-2,IF('Player Board'!R118="Rookie",4,2)))))+MAX(-20,MIN(20,($B$4-IF(O119="",N119,O119))*2))+(IFERROR(IF(INDEX('Player Board'!$F$4:$F$163,MATCH(N119+1,'Player Board'!$H$4:$H$163,0))&gt;'Player Board'!F118,8,0),0)))</f>
        <v>82</v>
      </c>
      <c r="Q119">
        <f t="shared" si="35"/>
        <v>82.008300000000006</v>
      </c>
      <c r="R119">
        <f>IF(AND('Draft Tracker'!D118="Noah",'Draft Tracker'!A118&gt;$B$4),'Draft Tracker'!A118,9999)</f>
        <v>9999</v>
      </c>
      <c r="S119">
        <f>IF(M119="","",IF(M119="QB",INDEX('Manager Profiles'!$T$5:$T$12,MATCH("Noah",'Manager Profiles'!$A$5:$A$12,0)),IF(M119="RB",INDEX('Manager Profiles'!$U$5:$U$12,MATCH("Noah",'Manager Profiles'!$A$5:$A$12,0)),IF(M119="WR",INDEX('Manager Profiles'!$V$5:$V$12,MATCH("Noah",'Manager Profiles'!$A$5:$A$12,0)),IF(M119="TE",INDEX('Manager Profiles'!$W$5:$W$12,MATCH("Noah",'Manager Profiles'!$A$5:$A$12,0)),0)))))</f>
        <v>1</v>
      </c>
      <c r="T119">
        <f>IF(M119="","",IF(M119="QB",INDEX('Manager Profiles'!$T$5:$T$12,MATCH($B$5,'Manager Profiles'!$A$5:$A$12,0)),IF(M119="RB",INDEX('Manager Profiles'!$U$5:$U$12,MATCH($B$5,'Manager Profiles'!$A$5:$A$12,0)),IF(M119="WR",INDEX('Manager Profiles'!$V$5:$V$12,MATCH($B$5,'Manager Profiles'!$A$5:$A$12,0)),IF(M119="TE",INDEX('Manager Profiles'!$W$5:$W$12,MATCH($B$5,'Manager Profiles'!$A$5:$A$12,0)),0)))))</f>
        <v>3</v>
      </c>
      <c r="U119">
        <f t="shared" si="36"/>
        <v>-2</v>
      </c>
      <c r="V119">
        <f t="shared" si="37"/>
        <v>0</v>
      </c>
      <c r="W119">
        <f t="shared" ca="1" si="38"/>
        <v>-9999</v>
      </c>
      <c r="X119">
        <f ca="1">IF(M119="","",IFERROR(_xludf.MINIFS($N$5:$N$164,$M$5:$M$164,M119,$N$5:$N$164,"&gt;"&amp;N119,$P$5:$P$164,"&gt;-9999"),N119+20))</f>
        <v>137</v>
      </c>
      <c r="Y119">
        <f t="shared" ca="1" si="39"/>
        <v>20</v>
      </c>
      <c r="Z119">
        <f t="shared" si="40"/>
        <v>-55</v>
      </c>
      <c r="AA119" t="str">
        <f t="shared" si="41"/>
        <v>No</v>
      </c>
      <c r="AB119" t="str">
        <f t="shared" ca="1" si="42"/>
        <v>Yes</v>
      </c>
      <c r="AC119" t="str">
        <f t="shared" si="43"/>
        <v>No</v>
      </c>
      <c r="AD119" t="str">
        <f t="shared" ca="1" si="44"/>
        <v>No</v>
      </c>
    </row>
    <row r="120" spans="12:30">
      <c r="L120" t="str">
        <f>'Player Board'!B119</f>
        <v>Jonathon Brooks</v>
      </c>
      <c r="M120" t="str">
        <f>'Player Board'!C119</f>
        <v>RB</v>
      </c>
      <c r="N120">
        <f>'Player Board'!H119</f>
        <v>118</v>
      </c>
      <c r="O120">
        <f>'Player Board'!Q119</f>
        <v>57</v>
      </c>
      <c r="P120">
        <f>IF(NOT(AND('Player Board'!J119="No",'Player Board'!K119="No")),-9999,(325-N120*2)+((IF(M120="QB",INDEX('Manager Profiles'!$T$5:$T$12,MATCH($B$5,'Manager Profiles'!$A$5:$A$12,0)),IF(M120="RB",INDEX('Manager Profiles'!$U$5:$U$12,MATCH($B$5,'Manager Profiles'!$A$5:$A$12,0)),IF(M120="WR",INDEX('Manager Profiles'!$V$5:$V$12,MATCH($B$5,'Manager Profiles'!$A$5:$A$12,0)),IF(M120="TE",INDEX('Manager Profiles'!$W$5:$W$12,MATCH($B$5,'Manager Profiles'!$A$5:$A$12,0)),0)))))*3)+(IF($B$6="Contender",IF('Player Board'!R119="Veteran",12,IF('Player Board'!R119="Prime",7,IF('Player Board'!R119="Young",3,-4))),IF($B$6="Rebuilder",IF('Player Board'!R119="Rookie",15,IF('Player Board'!R119="Young",10,IF('Player Board'!R119="Prime",2,-15))),IF('Player Board'!R119="Veteran",-2,IF('Player Board'!R119="Rookie",4,2)))))+MAX(-20,MIN(20,($B$4-IF(O120="",N120,O120))*2))+(IFERROR(IF(INDEX('Player Board'!$F$4:$F$163,MATCH(N120+1,'Player Board'!$H$4:$H$163,0))&gt;'Player Board'!F119,8,0),0)))</f>
        <v>98</v>
      </c>
      <c r="Q120">
        <f t="shared" si="35"/>
        <v>98.008200000000002</v>
      </c>
      <c r="R120">
        <f>IF(AND('Draft Tracker'!D119="Noah",'Draft Tracker'!A119&gt;$B$4),'Draft Tracker'!A119,9999)</f>
        <v>9999</v>
      </c>
      <c r="S120">
        <f>IF(M120="","",IF(M120="QB",INDEX('Manager Profiles'!$T$5:$T$12,MATCH("Noah",'Manager Profiles'!$A$5:$A$12,0)),IF(M120="RB",INDEX('Manager Profiles'!$U$5:$U$12,MATCH("Noah",'Manager Profiles'!$A$5:$A$12,0)),IF(M120="WR",INDEX('Manager Profiles'!$V$5:$V$12,MATCH("Noah",'Manager Profiles'!$A$5:$A$12,0)),IF(M120="TE",INDEX('Manager Profiles'!$W$5:$W$12,MATCH("Noah",'Manager Profiles'!$A$5:$A$12,0)),0)))))</f>
        <v>4</v>
      </c>
      <c r="T120">
        <f>IF(M120="","",IF(M120="QB",INDEX('Manager Profiles'!$T$5:$T$12,MATCH($B$5,'Manager Profiles'!$A$5:$A$12,0)),IF(M120="RB",INDEX('Manager Profiles'!$U$5:$U$12,MATCH($B$5,'Manager Profiles'!$A$5:$A$12,0)),IF(M120="WR",INDEX('Manager Profiles'!$V$5:$V$12,MATCH($B$5,'Manager Profiles'!$A$5:$A$12,0)),IF(M120="TE",INDEX('Manager Profiles'!$W$5:$W$12,MATCH($B$5,'Manager Profiles'!$A$5:$A$12,0)),0)))))</f>
        <v>9</v>
      </c>
      <c r="U120">
        <f t="shared" si="36"/>
        <v>-5</v>
      </c>
      <c r="V120">
        <f t="shared" si="37"/>
        <v>0</v>
      </c>
      <c r="W120">
        <f t="shared" ca="1" si="38"/>
        <v>-9999</v>
      </c>
      <c r="X120">
        <f ca="1">IF(M120="","",IFERROR(_xludf.MINIFS($N$5:$N$164,$M$5:$M$164,M120,$N$5:$N$164,"&gt;"&amp;N120,$P$5:$P$164,"&gt;-9999"),N120+20))</f>
        <v>138</v>
      </c>
      <c r="Y120">
        <f t="shared" ca="1" si="39"/>
        <v>20</v>
      </c>
      <c r="Z120">
        <f t="shared" si="40"/>
        <v>-56</v>
      </c>
      <c r="AA120" t="str">
        <f t="shared" si="41"/>
        <v>No</v>
      </c>
      <c r="AB120" t="str">
        <f t="shared" ca="1" si="42"/>
        <v>Yes</v>
      </c>
      <c r="AC120" t="str">
        <f t="shared" si="43"/>
        <v>No</v>
      </c>
      <c r="AD120" t="str">
        <f t="shared" ca="1" si="44"/>
        <v>No</v>
      </c>
    </row>
    <row r="121" spans="12:30">
      <c r="L121" t="str">
        <f>'Player Board'!B120</f>
        <v>George Kittle</v>
      </c>
      <c r="M121" t="str">
        <f>'Player Board'!C120</f>
        <v>TE</v>
      </c>
      <c r="N121">
        <f>'Player Board'!H120</f>
        <v>64</v>
      </c>
      <c r="O121">
        <f>'Player Board'!Q120</f>
        <v>11</v>
      </c>
      <c r="P121">
        <f>IF(NOT(AND('Player Board'!J120="No",'Player Board'!K120="No")),-9999,(325-N121*2)+((IF(M121="QB",INDEX('Manager Profiles'!$T$5:$T$12,MATCH($B$5,'Manager Profiles'!$A$5:$A$12,0)),IF(M121="RB",INDEX('Manager Profiles'!$U$5:$U$12,MATCH($B$5,'Manager Profiles'!$A$5:$A$12,0)),IF(M121="WR",INDEX('Manager Profiles'!$V$5:$V$12,MATCH($B$5,'Manager Profiles'!$A$5:$A$12,0)),IF(M121="TE",INDEX('Manager Profiles'!$W$5:$W$12,MATCH($B$5,'Manager Profiles'!$A$5:$A$12,0)),0)))))*3)+(IF($B$6="Contender",IF('Player Board'!R120="Veteran",12,IF('Player Board'!R120="Prime",7,IF('Player Board'!R120="Young",3,-4))),IF($B$6="Rebuilder",IF('Player Board'!R120="Rookie",15,IF('Player Board'!R120="Young",10,IF('Player Board'!R120="Prime",2,-15))),IF('Player Board'!R120="Veteran",-2,IF('Player Board'!R120="Rookie",4,2)))))+MAX(-20,MIN(20,($B$4-IF(O121="",N121,O121))*2))+(IFERROR(IF(INDEX('Player Board'!$F$4:$F$163,MATCH(N121+1,'Player Board'!$H$4:$H$163,0))&gt;'Player Board'!F120,8,0),0)))</f>
        <v>184</v>
      </c>
      <c r="Q121">
        <f t="shared" si="35"/>
        <v>184.0136</v>
      </c>
      <c r="R121">
        <f>IF(AND('Draft Tracker'!D120="Noah",'Draft Tracker'!A120&gt;$B$4),'Draft Tracker'!A120,9999)</f>
        <v>9999</v>
      </c>
      <c r="S121">
        <f>IF(M121="","",IF(M121="QB",INDEX('Manager Profiles'!$T$5:$T$12,MATCH("Noah",'Manager Profiles'!$A$5:$A$12,0)),IF(M121="RB",INDEX('Manager Profiles'!$U$5:$U$12,MATCH("Noah",'Manager Profiles'!$A$5:$A$12,0)),IF(M121="WR",INDEX('Manager Profiles'!$V$5:$V$12,MATCH("Noah",'Manager Profiles'!$A$5:$A$12,0)),IF(M121="TE",INDEX('Manager Profiles'!$W$5:$W$12,MATCH("Noah",'Manager Profiles'!$A$5:$A$12,0)),0)))))</f>
        <v>7</v>
      </c>
      <c r="T121">
        <f>IF(M121="","",IF(M121="QB",INDEX('Manager Profiles'!$T$5:$T$12,MATCH($B$5,'Manager Profiles'!$A$5:$A$12,0)),IF(M121="RB",INDEX('Manager Profiles'!$U$5:$U$12,MATCH($B$5,'Manager Profiles'!$A$5:$A$12,0)),IF(M121="WR",INDEX('Manager Profiles'!$V$5:$V$12,MATCH($B$5,'Manager Profiles'!$A$5:$A$12,0)),IF(M121="TE",INDEX('Manager Profiles'!$W$5:$W$12,MATCH($B$5,'Manager Profiles'!$A$5:$A$12,0)),0)))))</f>
        <v>3</v>
      </c>
      <c r="U121">
        <f t="shared" si="36"/>
        <v>4</v>
      </c>
      <c r="V121">
        <f t="shared" si="37"/>
        <v>2</v>
      </c>
      <c r="W121">
        <f t="shared" ca="1" si="38"/>
        <v>-9999</v>
      </c>
      <c r="X121">
        <f ca="1">IF(M121="","",IFERROR(_xludf.MINIFS($N$5:$N$164,$M$5:$M$164,M121,$N$5:$N$164,"&gt;"&amp;N121,$P$5:$P$164,"&gt;-9999"),N121+20))</f>
        <v>84</v>
      </c>
      <c r="Y121">
        <f t="shared" ca="1" si="39"/>
        <v>20</v>
      </c>
      <c r="Z121">
        <f t="shared" si="40"/>
        <v>-10</v>
      </c>
      <c r="AA121" t="str">
        <f t="shared" si="41"/>
        <v>No</v>
      </c>
      <c r="AB121" t="str">
        <f t="shared" ca="1" si="42"/>
        <v>Yes</v>
      </c>
      <c r="AC121" t="str">
        <f t="shared" si="43"/>
        <v>No</v>
      </c>
      <c r="AD121" t="str">
        <f t="shared" ca="1" si="44"/>
        <v>No</v>
      </c>
    </row>
    <row r="122" spans="12:30">
      <c r="L122" t="str">
        <f>'Player Board'!B121</f>
        <v>Jayden Reed</v>
      </c>
      <c r="M122" t="str">
        <f>'Player Board'!C121</f>
        <v>WR</v>
      </c>
      <c r="N122">
        <f>'Player Board'!H121</f>
        <v>119</v>
      </c>
      <c r="O122">
        <f>'Player Board'!Q121</f>
        <v>58</v>
      </c>
      <c r="P122">
        <f>IF(NOT(AND('Player Board'!J121="No",'Player Board'!K121="No")),-9999,(325-N122*2)+((IF(M122="QB",INDEX('Manager Profiles'!$T$5:$T$12,MATCH($B$5,'Manager Profiles'!$A$5:$A$12,0)),IF(M122="RB",INDEX('Manager Profiles'!$U$5:$U$12,MATCH($B$5,'Manager Profiles'!$A$5:$A$12,0)),IF(M122="WR",INDEX('Manager Profiles'!$V$5:$V$12,MATCH($B$5,'Manager Profiles'!$A$5:$A$12,0)),IF(M122="TE",INDEX('Manager Profiles'!$W$5:$W$12,MATCH($B$5,'Manager Profiles'!$A$5:$A$12,0)),0)))))*3)+(IF($B$6="Contender",IF('Player Board'!R121="Veteran",12,IF('Player Board'!R121="Prime",7,IF('Player Board'!R121="Young",3,-4))),IF($B$6="Rebuilder",IF('Player Board'!R121="Rookie",15,IF('Player Board'!R121="Young",10,IF('Player Board'!R121="Prime",2,-15))),IF('Player Board'!R121="Veteran",-2,IF('Player Board'!R121="Rookie",4,2)))))+MAX(-20,MIN(20,($B$4-IF(O122="",N122,O122))*2))+(IFERROR(IF(INDEX('Player Board'!$F$4:$F$163,MATCH(N122+1,'Player Board'!$H$4:$H$163,0))&gt;'Player Board'!F121,8,0),0)))</f>
        <v>78</v>
      </c>
      <c r="Q122">
        <f t="shared" si="35"/>
        <v>78.008099999999999</v>
      </c>
      <c r="R122">
        <f>IF(AND('Draft Tracker'!D121="Noah",'Draft Tracker'!A121&gt;$B$4),'Draft Tracker'!A121,9999)</f>
        <v>9999</v>
      </c>
      <c r="S122">
        <f>IF(M122="","",IF(M122="QB",INDEX('Manager Profiles'!$T$5:$T$12,MATCH("Noah",'Manager Profiles'!$A$5:$A$12,0)),IF(M122="RB",INDEX('Manager Profiles'!$U$5:$U$12,MATCH("Noah",'Manager Profiles'!$A$5:$A$12,0)),IF(M122="WR",INDEX('Manager Profiles'!$V$5:$V$12,MATCH("Noah",'Manager Profiles'!$A$5:$A$12,0)),IF(M122="TE",INDEX('Manager Profiles'!$W$5:$W$12,MATCH("Noah",'Manager Profiles'!$A$5:$A$12,0)),0)))))</f>
        <v>1</v>
      </c>
      <c r="T122">
        <f>IF(M122="","",IF(M122="QB",INDEX('Manager Profiles'!$T$5:$T$12,MATCH($B$5,'Manager Profiles'!$A$5:$A$12,0)),IF(M122="RB",INDEX('Manager Profiles'!$U$5:$U$12,MATCH($B$5,'Manager Profiles'!$A$5:$A$12,0)),IF(M122="WR",INDEX('Manager Profiles'!$V$5:$V$12,MATCH($B$5,'Manager Profiles'!$A$5:$A$12,0)),IF(M122="TE",INDEX('Manager Profiles'!$W$5:$W$12,MATCH($B$5,'Manager Profiles'!$A$5:$A$12,0)),0)))))</f>
        <v>3</v>
      </c>
      <c r="U122">
        <f t="shared" si="36"/>
        <v>-2</v>
      </c>
      <c r="V122">
        <f t="shared" si="37"/>
        <v>0</v>
      </c>
      <c r="W122">
        <f t="shared" ca="1" si="38"/>
        <v>-9999</v>
      </c>
      <c r="X122">
        <f ca="1">IF(M122="","",IFERROR(_xludf.MINIFS($N$5:$N$164,$M$5:$M$164,M122,$N$5:$N$164,"&gt;"&amp;N122,$P$5:$P$164,"&gt;-9999"),N122+20))</f>
        <v>139</v>
      </c>
      <c r="Y122">
        <f t="shared" ca="1" si="39"/>
        <v>20</v>
      </c>
      <c r="Z122">
        <f t="shared" si="40"/>
        <v>-57</v>
      </c>
      <c r="AA122" t="str">
        <f t="shared" si="41"/>
        <v>No</v>
      </c>
      <c r="AB122" t="str">
        <f t="shared" ca="1" si="42"/>
        <v>Yes</v>
      </c>
      <c r="AC122" t="str">
        <f t="shared" si="43"/>
        <v>No</v>
      </c>
      <c r="AD122" t="str">
        <f t="shared" ca="1" si="44"/>
        <v>No</v>
      </c>
    </row>
    <row r="123" spans="12:30">
      <c r="L123" t="str">
        <f>'Player Board'!B122</f>
        <v>Blake Corum</v>
      </c>
      <c r="M123" t="str">
        <f>'Player Board'!C122</f>
        <v>RB</v>
      </c>
      <c r="N123">
        <f>'Player Board'!H122</f>
        <v>120</v>
      </c>
      <c r="O123">
        <f>'Player Board'!Q122</f>
        <v>59</v>
      </c>
      <c r="P123">
        <f>IF(NOT(AND('Player Board'!J122="No",'Player Board'!K122="No")),-9999,(325-N123*2)+((IF(M123="QB",INDEX('Manager Profiles'!$T$5:$T$12,MATCH($B$5,'Manager Profiles'!$A$5:$A$12,0)),IF(M123="RB",INDEX('Manager Profiles'!$U$5:$U$12,MATCH($B$5,'Manager Profiles'!$A$5:$A$12,0)),IF(M123="WR",INDEX('Manager Profiles'!$V$5:$V$12,MATCH($B$5,'Manager Profiles'!$A$5:$A$12,0)),IF(M123="TE",INDEX('Manager Profiles'!$W$5:$W$12,MATCH($B$5,'Manager Profiles'!$A$5:$A$12,0)),0)))))*3)+(IF($B$6="Contender",IF('Player Board'!R122="Veteran",12,IF('Player Board'!R122="Prime",7,IF('Player Board'!R122="Young",3,-4))),IF($B$6="Rebuilder",IF('Player Board'!R122="Rookie",15,IF('Player Board'!R122="Young",10,IF('Player Board'!R122="Prime",2,-15))),IF('Player Board'!R122="Veteran",-2,IF('Player Board'!R122="Rookie",4,2)))))+MAX(-20,MIN(20,($B$4-IF(O123="",N123,O123))*2))+(IFERROR(IF(INDEX('Player Board'!$F$4:$F$163,MATCH(N123+1,'Player Board'!$H$4:$H$163,0))&gt;'Player Board'!F122,8,0),0)))</f>
        <v>102</v>
      </c>
      <c r="Q123">
        <f t="shared" si="35"/>
        <v>102.008</v>
      </c>
      <c r="R123">
        <f>IF(AND('Draft Tracker'!D122="Noah",'Draft Tracker'!A122&gt;$B$4),'Draft Tracker'!A122,9999)</f>
        <v>9999</v>
      </c>
      <c r="S123">
        <f>IF(M123="","",IF(M123="QB",INDEX('Manager Profiles'!$T$5:$T$12,MATCH("Noah",'Manager Profiles'!$A$5:$A$12,0)),IF(M123="RB",INDEX('Manager Profiles'!$U$5:$U$12,MATCH("Noah",'Manager Profiles'!$A$5:$A$12,0)),IF(M123="WR",INDEX('Manager Profiles'!$V$5:$V$12,MATCH("Noah",'Manager Profiles'!$A$5:$A$12,0)),IF(M123="TE",INDEX('Manager Profiles'!$W$5:$W$12,MATCH("Noah",'Manager Profiles'!$A$5:$A$12,0)),0)))))</f>
        <v>4</v>
      </c>
      <c r="T123">
        <f>IF(M123="","",IF(M123="QB",INDEX('Manager Profiles'!$T$5:$T$12,MATCH($B$5,'Manager Profiles'!$A$5:$A$12,0)),IF(M123="RB",INDEX('Manager Profiles'!$U$5:$U$12,MATCH($B$5,'Manager Profiles'!$A$5:$A$12,0)),IF(M123="WR",INDEX('Manager Profiles'!$V$5:$V$12,MATCH($B$5,'Manager Profiles'!$A$5:$A$12,0)),IF(M123="TE",INDEX('Manager Profiles'!$W$5:$W$12,MATCH($B$5,'Manager Profiles'!$A$5:$A$12,0)),0)))))</f>
        <v>9</v>
      </c>
      <c r="U123">
        <f t="shared" si="36"/>
        <v>-5</v>
      </c>
      <c r="V123">
        <f t="shared" si="37"/>
        <v>0</v>
      </c>
      <c r="W123">
        <f t="shared" ca="1" si="38"/>
        <v>-9999</v>
      </c>
      <c r="X123">
        <f ca="1">IF(M123="","",IFERROR(_xludf.MINIFS($N$5:$N$164,$M$5:$M$164,M123,$N$5:$N$164,"&gt;"&amp;N123,$P$5:$P$164,"&gt;-9999"),N123+20))</f>
        <v>140</v>
      </c>
      <c r="Y123">
        <f t="shared" ca="1" si="39"/>
        <v>20</v>
      </c>
      <c r="Z123">
        <f t="shared" si="40"/>
        <v>-58</v>
      </c>
      <c r="AA123" t="str">
        <f t="shared" si="41"/>
        <v>No</v>
      </c>
      <c r="AB123" t="str">
        <f t="shared" ca="1" si="42"/>
        <v>Yes</v>
      </c>
      <c r="AC123" t="str">
        <f t="shared" si="43"/>
        <v>No</v>
      </c>
      <c r="AD123" t="str">
        <f t="shared" ca="1" si="44"/>
        <v>No</v>
      </c>
    </row>
    <row r="124" spans="12:30">
      <c r="L124" t="str">
        <f>'Player Board'!B123</f>
        <v>RJ Harvey</v>
      </c>
      <c r="M124" t="str">
        <f>'Player Board'!C123</f>
        <v>RB</v>
      </c>
      <c r="N124">
        <f>'Player Board'!H123</f>
        <v>121</v>
      </c>
      <c r="O124">
        <f>'Player Board'!Q123</f>
        <v>60</v>
      </c>
      <c r="P124">
        <f>IF(NOT(AND('Player Board'!J123="No",'Player Board'!K123="No")),-9999,(325-N124*2)+((IF(M124="QB",INDEX('Manager Profiles'!$T$5:$T$12,MATCH($B$5,'Manager Profiles'!$A$5:$A$12,0)),IF(M124="RB",INDEX('Manager Profiles'!$U$5:$U$12,MATCH($B$5,'Manager Profiles'!$A$5:$A$12,0)),IF(M124="WR",INDEX('Manager Profiles'!$V$5:$V$12,MATCH($B$5,'Manager Profiles'!$A$5:$A$12,0)),IF(M124="TE",INDEX('Manager Profiles'!$W$5:$W$12,MATCH($B$5,'Manager Profiles'!$A$5:$A$12,0)),0)))))*3)+(IF($B$6="Contender",IF('Player Board'!R123="Veteran",12,IF('Player Board'!R123="Prime",7,IF('Player Board'!R123="Young",3,-4))),IF($B$6="Rebuilder",IF('Player Board'!R123="Rookie",15,IF('Player Board'!R123="Young",10,IF('Player Board'!R123="Prime",2,-15))),IF('Player Board'!R123="Veteran",-2,IF('Player Board'!R123="Rookie",4,2)))))+MAX(-20,MIN(20,($B$4-IF(O124="",N124,O124))*2))+(IFERROR(IF(INDEX('Player Board'!$F$4:$F$163,MATCH(N124+1,'Player Board'!$H$4:$H$163,0))&gt;'Player Board'!F123,8,0),0)))</f>
        <v>92</v>
      </c>
      <c r="Q124">
        <f t="shared" si="35"/>
        <v>92.007900000000006</v>
      </c>
      <c r="R124">
        <f>IF(AND('Draft Tracker'!D123="Noah",'Draft Tracker'!A123&gt;$B$4),'Draft Tracker'!A123,9999)</f>
        <v>9999</v>
      </c>
      <c r="S124">
        <f>IF(M124="","",IF(M124="QB",INDEX('Manager Profiles'!$T$5:$T$12,MATCH("Noah",'Manager Profiles'!$A$5:$A$12,0)),IF(M124="RB",INDEX('Manager Profiles'!$U$5:$U$12,MATCH("Noah",'Manager Profiles'!$A$5:$A$12,0)),IF(M124="WR",INDEX('Manager Profiles'!$V$5:$V$12,MATCH("Noah",'Manager Profiles'!$A$5:$A$12,0)),IF(M124="TE",INDEX('Manager Profiles'!$W$5:$W$12,MATCH("Noah",'Manager Profiles'!$A$5:$A$12,0)),0)))))</f>
        <v>4</v>
      </c>
      <c r="T124">
        <f>IF(M124="","",IF(M124="QB",INDEX('Manager Profiles'!$T$5:$T$12,MATCH($B$5,'Manager Profiles'!$A$5:$A$12,0)),IF(M124="RB",INDEX('Manager Profiles'!$U$5:$U$12,MATCH($B$5,'Manager Profiles'!$A$5:$A$12,0)),IF(M124="WR",INDEX('Manager Profiles'!$V$5:$V$12,MATCH($B$5,'Manager Profiles'!$A$5:$A$12,0)),IF(M124="TE",INDEX('Manager Profiles'!$W$5:$W$12,MATCH($B$5,'Manager Profiles'!$A$5:$A$12,0)),0)))))</f>
        <v>9</v>
      </c>
      <c r="U124">
        <f t="shared" si="36"/>
        <v>-5</v>
      </c>
      <c r="V124">
        <f t="shared" si="37"/>
        <v>0</v>
      </c>
      <c r="W124">
        <f t="shared" ca="1" si="38"/>
        <v>-9999</v>
      </c>
      <c r="X124">
        <f ca="1">IF(M124="","",IFERROR(_xludf.MINIFS($N$5:$N$164,$M$5:$M$164,M124,$N$5:$N$164,"&gt;"&amp;N124,$P$5:$P$164,"&gt;-9999"),N124+20))</f>
        <v>141</v>
      </c>
      <c r="Y124">
        <f t="shared" ca="1" si="39"/>
        <v>20</v>
      </c>
      <c r="Z124">
        <f t="shared" si="40"/>
        <v>-59</v>
      </c>
      <c r="AA124" t="str">
        <f t="shared" si="41"/>
        <v>No</v>
      </c>
      <c r="AB124" t="str">
        <f t="shared" ca="1" si="42"/>
        <v>Yes</v>
      </c>
      <c r="AC124" t="str">
        <f t="shared" si="43"/>
        <v>No</v>
      </c>
      <c r="AD124" t="str">
        <f t="shared" ca="1" si="44"/>
        <v>No</v>
      </c>
    </row>
    <row r="125" spans="12:30">
      <c r="L125" t="str">
        <f>'Player Board'!B124</f>
        <v>Zach Charbonnet</v>
      </c>
      <c r="M125" t="str">
        <f>'Player Board'!C124</f>
        <v>RB</v>
      </c>
      <c r="N125">
        <f>'Player Board'!H124</f>
        <v>122</v>
      </c>
      <c r="O125">
        <f>'Player Board'!Q124</f>
        <v>61</v>
      </c>
      <c r="P125">
        <f>IF(NOT(AND('Player Board'!J124="No",'Player Board'!K124="No")),-9999,(325-N125*2)+((IF(M125="QB",INDEX('Manager Profiles'!$T$5:$T$12,MATCH($B$5,'Manager Profiles'!$A$5:$A$12,0)),IF(M125="RB",INDEX('Manager Profiles'!$U$5:$U$12,MATCH($B$5,'Manager Profiles'!$A$5:$A$12,0)),IF(M125="WR",INDEX('Manager Profiles'!$V$5:$V$12,MATCH($B$5,'Manager Profiles'!$A$5:$A$12,0)),IF(M125="TE",INDEX('Manager Profiles'!$W$5:$W$12,MATCH($B$5,'Manager Profiles'!$A$5:$A$12,0)),0)))))*3)+(IF($B$6="Contender",IF('Player Board'!R124="Veteran",12,IF('Player Board'!R124="Prime",7,IF('Player Board'!R124="Young",3,-4))),IF($B$6="Rebuilder",IF('Player Board'!R124="Rookie",15,IF('Player Board'!R124="Young",10,IF('Player Board'!R124="Prime",2,-15))),IF('Player Board'!R124="Veteran",-2,IF('Player Board'!R124="Rookie",4,2)))))+MAX(-20,MIN(20,($B$4-IF(O125="",N125,O125))*2))+(IFERROR(IF(INDEX('Player Board'!$F$4:$F$163,MATCH(N125+1,'Player Board'!$H$4:$H$163,0))&gt;'Player Board'!F124,8,0),0)))</f>
        <v>90</v>
      </c>
      <c r="Q125">
        <f t="shared" si="35"/>
        <v>90.007800000000003</v>
      </c>
      <c r="R125">
        <f>IF(AND('Draft Tracker'!D124="Noah",'Draft Tracker'!A124&gt;$B$4),'Draft Tracker'!A124,9999)</f>
        <v>9999</v>
      </c>
      <c r="S125">
        <f>IF(M125="","",IF(M125="QB",INDEX('Manager Profiles'!$T$5:$T$12,MATCH("Noah",'Manager Profiles'!$A$5:$A$12,0)),IF(M125="RB",INDEX('Manager Profiles'!$U$5:$U$12,MATCH("Noah",'Manager Profiles'!$A$5:$A$12,0)),IF(M125="WR",INDEX('Manager Profiles'!$V$5:$V$12,MATCH("Noah",'Manager Profiles'!$A$5:$A$12,0)),IF(M125="TE",INDEX('Manager Profiles'!$W$5:$W$12,MATCH("Noah",'Manager Profiles'!$A$5:$A$12,0)),0)))))</f>
        <v>4</v>
      </c>
      <c r="T125">
        <f>IF(M125="","",IF(M125="QB",INDEX('Manager Profiles'!$T$5:$T$12,MATCH($B$5,'Manager Profiles'!$A$5:$A$12,0)),IF(M125="RB",INDEX('Manager Profiles'!$U$5:$U$12,MATCH($B$5,'Manager Profiles'!$A$5:$A$12,0)),IF(M125="WR",INDEX('Manager Profiles'!$V$5:$V$12,MATCH($B$5,'Manager Profiles'!$A$5:$A$12,0)),IF(M125="TE",INDEX('Manager Profiles'!$W$5:$W$12,MATCH($B$5,'Manager Profiles'!$A$5:$A$12,0)),0)))))</f>
        <v>9</v>
      </c>
      <c r="U125">
        <f t="shared" si="36"/>
        <v>-5</v>
      </c>
      <c r="V125">
        <f t="shared" si="37"/>
        <v>0</v>
      </c>
      <c r="W125">
        <f t="shared" ca="1" si="38"/>
        <v>-9999</v>
      </c>
      <c r="X125">
        <f ca="1">IF(M125="","",IFERROR(_xludf.MINIFS($N$5:$N$164,$M$5:$M$164,M125,$N$5:$N$164,"&gt;"&amp;N125,$P$5:$P$164,"&gt;-9999"),N125+20))</f>
        <v>142</v>
      </c>
      <c r="Y125">
        <f t="shared" ca="1" si="39"/>
        <v>20</v>
      </c>
      <c r="Z125">
        <f t="shared" si="40"/>
        <v>-60</v>
      </c>
      <c r="AA125" t="str">
        <f t="shared" si="41"/>
        <v>No</v>
      </c>
      <c r="AB125" t="str">
        <f t="shared" ca="1" si="42"/>
        <v>Yes</v>
      </c>
      <c r="AC125" t="str">
        <f t="shared" si="43"/>
        <v>No</v>
      </c>
      <c r="AD125" t="str">
        <f t="shared" ca="1" si="44"/>
        <v>No</v>
      </c>
    </row>
    <row r="126" spans="12:30">
      <c r="L126" t="str">
        <f>'Player Board'!B125</f>
        <v>Travis Hunter</v>
      </c>
      <c r="M126" t="str">
        <f>'Player Board'!C125</f>
        <v>WR</v>
      </c>
      <c r="N126">
        <f>'Player Board'!H125</f>
        <v>123</v>
      </c>
      <c r="O126" t="str">
        <f>'Player Board'!Q125</f>
        <v/>
      </c>
      <c r="P126">
        <f>IF(NOT(AND('Player Board'!J125="No",'Player Board'!K125="No")),-9999,(325-N126*2)+((IF(M126="QB",INDEX('Manager Profiles'!$T$5:$T$12,MATCH($B$5,'Manager Profiles'!$A$5:$A$12,0)),IF(M126="RB",INDEX('Manager Profiles'!$U$5:$U$12,MATCH($B$5,'Manager Profiles'!$A$5:$A$12,0)),IF(M126="WR",INDEX('Manager Profiles'!$V$5:$V$12,MATCH($B$5,'Manager Profiles'!$A$5:$A$12,0)),IF(M126="TE",INDEX('Manager Profiles'!$W$5:$W$12,MATCH($B$5,'Manager Profiles'!$A$5:$A$12,0)),0)))))*3)+(IF($B$6="Contender",IF('Player Board'!R125="Veteran",12,IF('Player Board'!R125="Prime",7,IF('Player Board'!R125="Young",3,-4))),IF($B$6="Rebuilder",IF('Player Board'!R125="Rookie",15,IF('Player Board'!R125="Young",10,IF('Player Board'!R125="Prime",2,-15))),IF('Player Board'!R125="Veteran",-2,IF('Player Board'!R125="Rookie",4,2)))))+MAX(-20,MIN(20,($B$4-IF(O126="",N126,O126))*2))+(IFERROR(IF(INDEX('Player Board'!$F$4:$F$163,MATCH(N126+1,'Player Board'!$H$4:$H$163,0))&gt;'Player Board'!F125,8,0),0)))</f>
        <v>-9999</v>
      </c>
      <c r="Q126">
        <f t="shared" si="35"/>
        <v>-9998.9922999999999</v>
      </c>
      <c r="R126">
        <f>IF(AND('Draft Tracker'!D125="Noah",'Draft Tracker'!A125&gt;$B$4),'Draft Tracker'!A125,9999)</f>
        <v>9999</v>
      </c>
      <c r="S126">
        <f>IF(M126="","",IF(M126="QB",INDEX('Manager Profiles'!$T$5:$T$12,MATCH("Noah",'Manager Profiles'!$A$5:$A$12,0)),IF(M126="RB",INDEX('Manager Profiles'!$U$5:$U$12,MATCH("Noah",'Manager Profiles'!$A$5:$A$12,0)),IF(M126="WR",INDEX('Manager Profiles'!$V$5:$V$12,MATCH("Noah",'Manager Profiles'!$A$5:$A$12,0)),IF(M126="TE",INDEX('Manager Profiles'!$W$5:$W$12,MATCH("Noah",'Manager Profiles'!$A$5:$A$12,0)),0)))))</f>
        <v>1</v>
      </c>
      <c r="T126">
        <f>IF(M126="","",IF(M126="QB",INDEX('Manager Profiles'!$T$5:$T$12,MATCH($B$5,'Manager Profiles'!$A$5:$A$12,0)),IF(M126="RB",INDEX('Manager Profiles'!$U$5:$U$12,MATCH($B$5,'Manager Profiles'!$A$5:$A$12,0)),IF(M126="WR",INDEX('Manager Profiles'!$V$5:$V$12,MATCH($B$5,'Manager Profiles'!$A$5:$A$12,0)),IF(M126="TE",INDEX('Manager Profiles'!$W$5:$W$12,MATCH($B$5,'Manager Profiles'!$A$5:$A$12,0)),0)))))</f>
        <v>3</v>
      </c>
      <c r="U126">
        <f t="shared" si="36"/>
        <v>-2</v>
      </c>
      <c r="V126" t="str">
        <f t="shared" si="37"/>
        <v/>
      </c>
      <c r="W126">
        <f t="shared" ca="1" si="38"/>
        <v>-9999</v>
      </c>
      <c r="X126">
        <f ca="1">IF(M126="","",IFERROR(_xludf.MINIFS($N$5:$N$164,$M$5:$M$164,M126,$N$5:$N$164,"&gt;"&amp;N126,$P$5:$P$164,"&gt;-9999"),N126+20))</f>
        <v>143</v>
      </c>
      <c r="Y126">
        <f t="shared" ca="1" si="39"/>
        <v>20</v>
      </c>
      <c r="Z126" t="str">
        <f t="shared" si="40"/>
        <v/>
      </c>
      <c r="AA126" t="str">
        <f t="shared" si="41"/>
        <v>No</v>
      </c>
      <c r="AB126" t="str">
        <f t="shared" ca="1" si="42"/>
        <v>Yes</v>
      </c>
      <c r="AC126" t="str">
        <f t="shared" si="43"/>
        <v>Yes</v>
      </c>
      <c r="AD126" t="str">
        <f t="shared" ca="1" si="44"/>
        <v>No</v>
      </c>
    </row>
    <row r="127" spans="12:30">
      <c r="L127" t="str">
        <f>'Player Board'!B126</f>
        <v>Mike Evans</v>
      </c>
      <c r="M127" t="str">
        <f>'Player Board'!C126</f>
        <v>WR</v>
      </c>
      <c r="N127">
        <f>'Player Board'!H126</f>
        <v>82</v>
      </c>
      <c r="O127">
        <f>'Player Board'!Q126</f>
        <v>23</v>
      </c>
      <c r="P127">
        <f>IF(NOT(AND('Player Board'!J126="No",'Player Board'!K126="No")),-9999,(325-N127*2)+((IF(M127="QB",INDEX('Manager Profiles'!$T$5:$T$12,MATCH($B$5,'Manager Profiles'!$A$5:$A$12,0)),IF(M127="RB",INDEX('Manager Profiles'!$U$5:$U$12,MATCH($B$5,'Manager Profiles'!$A$5:$A$12,0)),IF(M127="WR",INDEX('Manager Profiles'!$V$5:$V$12,MATCH($B$5,'Manager Profiles'!$A$5:$A$12,0)),IF(M127="TE",INDEX('Manager Profiles'!$W$5:$W$12,MATCH($B$5,'Manager Profiles'!$A$5:$A$12,0)),0)))))*3)+(IF($B$6="Contender",IF('Player Board'!R126="Veteran",12,IF('Player Board'!R126="Prime",7,IF('Player Board'!R126="Young",3,-4))),IF($B$6="Rebuilder",IF('Player Board'!R126="Rookie",15,IF('Player Board'!R126="Young",10,IF('Player Board'!R126="Prime",2,-15))),IF('Player Board'!R126="Veteran",-2,IF('Player Board'!R126="Rookie",4,2)))))+MAX(-20,MIN(20,($B$4-IF(O127="",N127,O127))*2))+(IFERROR(IF(INDEX('Player Board'!$F$4:$F$163,MATCH(N127+1,'Player Board'!$H$4:$H$163,0))&gt;'Player Board'!F126,8,0),0)))</f>
        <v>148</v>
      </c>
      <c r="Q127">
        <f t="shared" si="35"/>
        <v>148.01179999999999</v>
      </c>
      <c r="R127">
        <f>IF(AND('Draft Tracker'!D126="Noah",'Draft Tracker'!A126&gt;$B$4),'Draft Tracker'!A126,9999)</f>
        <v>9999</v>
      </c>
      <c r="S127">
        <f>IF(M127="","",IF(M127="QB",INDEX('Manager Profiles'!$T$5:$T$12,MATCH("Noah",'Manager Profiles'!$A$5:$A$12,0)),IF(M127="RB",INDEX('Manager Profiles'!$U$5:$U$12,MATCH("Noah",'Manager Profiles'!$A$5:$A$12,0)),IF(M127="WR",INDEX('Manager Profiles'!$V$5:$V$12,MATCH("Noah",'Manager Profiles'!$A$5:$A$12,0)),IF(M127="TE",INDEX('Manager Profiles'!$W$5:$W$12,MATCH("Noah",'Manager Profiles'!$A$5:$A$12,0)),0)))))</f>
        <v>1</v>
      </c>
      <c r="T127">
        <f>IF(M127="","",IF(M127="QB",INDEX('Manager Profiles'!$T$5:$T$12,MATCH($B$5,'Manager Profiles'!$A$5:$A$12,0)),IF(M127="RB",INDEX('Manager Profiles'!$U$5:$U$12,MATCH($B$5,'Manager Profiles'!$A$5:$A$12,0)),IF(M127="WR",INDEX('Manager Profiles'!$V$5:$V$12,MATCH($B$5,'Manager Profiles'!$A$5:$A$12,0)),IF(M127="TE",INDEX('Manager Profiles'!$W$5:$W$12,MATCH($B$5,'Manager Profiles'!$A$5:$A$12,0)),0)))))</f>
        <v>3</v>
      </c>
      <c r="U127">
        <f t="shared" si="36"/>
        <v>-2</v>
      </c>
      <c r="V127">
        <f t="shared" si="37"/>
        <v>0</v>
      </c>
      <c r="W127">
        <f t="shared" ca="1" si="38"/>
        <v>-9999</v>
      </c>
      <c r="X127">
        <f ca="1">IF(M127="","",IFERROR(_xludf.MINIFS($N$5:$N$164,$M$5:$M$164,M127,$N$5:$N$164,"&gt;"&amp;N127,$P$5:$P$164,"&gt;-9999"),N127+20))</f>
        <v>102</v>
      </c>
      <c r="Y127">
        <f t="shared" ca="1" si="39"/>
        <v>20</v>
      </c>
      <c r="Z127">
        <f t="shared" si="40"/>
        <v>-22</v>
      </c>
      <c r="AA127" t="str">
        <f t="shared" si="41"/>
        <v>No</v>
      </c>
      <c r="AB127" t="str">
        <f t="shared" ca="1" si="42"/>
        <v>Yes</v>
      </c>
      <c r="AC127" t="str">
        <f t="shared" si="43"/>
        <v>No</v>
      </c>
      <c r="AD127" t="str">
        <f t="shared" ca="1" si="44"/>
        <v>No</v>
      </c>
    </row>
    <row r="128" spans="12:30">
      <c r="L128" t="str">
        <f>'Player Board'!B127</f>
        <v>Xavier Worthy</v>
      </c>
      <c r="M128" t="str">
        <f>'Player Board'!C127</f>
        <v>WR</v>
      </c>
      <c r="N128">
        <f>'Player Board'!H127</f>
        <v>124</v>
      </c>
      <c r="O128">
        <f>'Player Board'!Q127</f>
        <v>62</v>
      </c>
      <c r="P128">
        <f>IF(NOT(AND('Player Board'!J127="No",'Player Board'!K127="No")),-9999,(325-N128*2)+((IF(M128="QB",INDEX('Manager Profiles'!$T$5:$T$12,MATCH($B$5,'Manager Profiles'!$A$5:$A$12,0)),IF(M128="RB",INDEX('Manager Profiles'!$U$5:$U$12,MATCH($B$5,'Manager Profiles'!$A$5:$A$12,0)),IF(M128="WR",INDEX('Manager Profiles'!$V$5:$V$12,MATCH($B$5,'Manager Profiles'!$A$5:$A$12,0)),IF(M128="TE",INDEX('Manager Profiles'!$W$5:$W$12,MATCH($B$5,'Manager Profiles'!$A$5:$A$12,0)),0)))))*3)+(IF($B$6="Contender",IF('Player Board'!R127="Veteran",12,IF('Player Board'!R127="Prime",7,IF('Player Board'!R127="Young",3,-4))),IF($B$6="Rebuilder",IF('Player Board'!R127="Rookie",15,IF('Player Board'!R127="Young",10,IF('Player Board'!R127="Prime",2,-15))),IF('Player Board'!R127="Veteran",-2,IF('Player Board'!R127="Rookie",4,2)))))+MAX(-20,MIN(20,($B$4-IF(O128="",N128,O128))*2))+(IFERROR(IF(INDEX('Player Board'!$F$4:$F$163,MATCH(N128+1,'Player Board'!$H$4:$H$163,0))&gt;'Player Board'!F127,8,0),0)))</f>
        <v>68</v>
      </c>
      <c r="Q128">
        <f t="shared" si="35"/>
        <v>68.007599999999996</v>
      </c>
      <c r="R128">
        <f>IF(AND('Draft Tracker'!D127="Noah",'Draft Tracker'!A127&gt;$B$4),'Draft Tracker'!A127,9999)</f>
        <v>9999</v>
      </c>
      <c r="S128">
        <f>IF(M128="","",IF(M128="QB",INDEX('Manager Profiles'!$T$5:$T$12,MATCH("Noah",'Manager Profiles'!$A$5:$A$12,0)),IF(M128="RB",INDEX('Manager Profiles'!$U$5:$U$12,MATCH("Noah",'Manager Profiles'!$A$5:$A$12,0)),IF(M128="WR",INDEX('Manager Profiles'!$V$5:$V$12,MATCH("Noah",'Manager Profiles'!$A$5:$A$12,0)),IF(M128="TE",INDEX('Manager Profiles'!$W$5:$W$12,MATCH("Noah",'Manager Profiles'!$A$5:$A$12,0)),0)))))</f>
        <v>1</v>
      </c>
      <c r="T128">
        <f>IF(M128="","",IF(M128="QB",INDEX('Manager Profiles'!$T$5:$T$12,MATCH($B$5,'Manager Profiles'!$A$5:$A$12,0)),IF(M128="RB",INDEX('Manager Profiles'!$U$5:$U$12,MATCH($B$5,'Manager Profiles'!$A$5:$A$12,0)),IF(M128="WR",INDEX('Manager Profiles'!$V$5:$V$12,MATCH($B$5,'Manager Profiles'!$A$5:$A$12,0)),IF(M128="TE",INDEX('Manager Profiles'!$W$5:$W$12,MATCH($B$5,'Manager Profiles'!$A$5:$A$12,0)),0)))))</f>
        <v>3</v>
      </c>
      <c r="U128">
        <f t="shared" si="36"/>
        <v>-2</v>
      </c>
      <c r="V128">
        <f t="shared" si="37"/>
        <v>0</v>
      </c>
      <c r="W128">
        <f t="shared" ca="1" si="38"/>
        <v>-9999</v>
      </c>
      <c r="X128">
        <f ca="1">IF(M128="","",IFERROR(_xludf.MINIFS($N$5:$N$164,$M$5:$M$164,M128,$N$5:$N$164,"&gt;"&amp;N128,$P$5:$P$164,"&gt;-9999"),N128+20))</f>
        <v>144</v>
      </c>
      <c r="Y128">
        <f t="shared" ca="1" si="39"/>
        <v>20</v>
      </c>
      <c r="Z128">
        <f t="shared" si="40"/>
        <v>-61</v>
      </c>
      <c r="AA128" t="str">
        <f t="shared" si="41"/>
        <v>No</v>
      </c>
      <c r="AB128" t="str">
        <f t="shared" ca="1" si="42"/>
        <v>Yes</v>
      </c>
      <c r="AC128" t="str">
        <f t="shared" si="43"/>
        <v>No</v>
      </c>
      <c r="AD128" t="str">
        <f t="shared" ca="1" si="44"/>
        <v>No</v>
      </c>
    </row>
    <row r="129" spans="12:30">
      <c r="L129" t="str">
        <f>'Player Board'!B128</f>
        <v>Jaylen Warren</v>
      </c>
      <c r="M129" t="str">
        <f>'Player Board'!C128</f>
        <v>RB</v>
      </c>
      <c r="N129">
        <f>'Player Board'!H128</f>
        <v>125</v>
      </c>
      <c r="O129">
        <f>'Player Board'!Q128</f>
        <v>63</v>
      </c>
      <c r="P129">
        <f>IF(NOT(AND('Player Board'!J128="No",'Player Board'!K128="No")),-9999,(325-N129*2)+((IF(M129="QB",INDEX('Manager Profiles'!$T$5:$T$12,MATCH($B$5,'Manager Profiles'!$A$5:$A$12,0)),IF(M129="RB",INDEX('Manager Profiles'!$U$5:$U$12,MATCH($B$5,'Manager Profiles'!$A$5:$A$12,0)),IF(M129="WR",INDEX('Manager Profiles'!$V$5:$V$12,MATCH($B$5,'Manager Profiles'!$A$5:$A$12,0)),IF(M129="TE",INDEX('Manager Profiles'!$W$5:$W$12,MATCH($B$5,'Manager Profiles'!$A$5:$A$12,0)),0)))))*3)+(IF($B$6="Contender",IF('Player Board'!R128="Veteran",12,IF('Player Board'!R128="Prime",7,IF('Player Board'!R128="Young",3,-4))),IF($B$6="Rebuilder",IF('Player Board'!R128="Rookie",15,IF('Player Board'!R128="Young",10,IF('Player Board'!R128="Prime",2,-15))),IF('Player Board'!R128="Veteran",-2,IF('Player Board'!R128="Rookie",4,2)))))+MAX(-20,MIN(20,($B$4-IF(O129="",N129,O129))*2))+(IFERROR(IF(INDEX('Player Board'!$F$4:$F$163,MATCH(N129+1,'Player Board'!$H$4:$H$163,0))&gt;'Player Board'!F128,8,0),0)))</f>
        <v>84</v>
      </c>
      <c r="Q129">
        <f t="shared" si="35"/>
        <v>84.007499999999993</v>
      </c>
      <c r="R129">
        <f>IF(AND('Draft Tracker'!D128="Noah",'Draft Tracker'!A128&gt;$B$4),'Draft Tracker'!A128,9999)</f>
        <v>9999</v>
      </c>
      <c r="S129">
        <f>IF(M129="","",IF(M129="QB",INDEX('Manager Profiles'!$T$5:$T$12,MATCH("Noah",'Manager Profiles'!$A$5:$A$12,0)),IF(M129="RB",INDEX('Manager Profiles'!$U$5:$U$12,MATCH("Noah",'Manager Profiles'!$A$5:$A$12,0)),IF(M129="WR",INDEX('Manager Profiles'!$V$5:$V$12,MATCH("Noah",'Manager Profiles'!$A$5:$A$12,0)),IF(M129="TE",INDEX('Manager Profiles'!$W$5:$W$12,MATCH("Noah",'Manager Profiles'!$A$5:$A$12,0)),0)))))</f>
        <v>4</v>
      </c>
      <c r="T129">
        <f>IF(M129="","",IF(M129="QB",INDEX('Manager Profiles'!$T$5:$T$12,MATCH($B$5,'Manager Profiles'!$A$5:$A$12,0)),IF(M129="RB",INDEX('Manager Profiles'!$U$5:$U$12,MATCH($B$5,'Manager Profiles'!$A$5:$A$12,0)),IF(M129="WR",INDEX('Manager Profiles'!$V$5:$V$12,MATCH($B$5,'Manager Profiles'!$A$5:$A$12,0)),IF(M129="TE",INDEX('Manager Profiles'!$W$5:$W$12,MATCH($B$5,'Manager Profiles'!$A$5:$A$12,0)),0)))))</f>
        <v>9</v>
      </c>
      <c r="U129">
        <f t="shared" si="36"/>
        <v>-5</v>
      </c>
      <c r="V129">
        <f t="shared" si="37"/>
        <v>0</v>
      </c>
      <c r="W129">
        <f t="shared" ca="1" si="38"/>
        <v>-9999</v>
      </c>
      <c r="X129">
        <f ca="1">IF(M129="","",IFERROR(_xludf.MINIFS($N$5:$N$164,$M$5:$M$164,M129,$N$5:$N$164,"&gt;"&amp;N129,$P$5:$P$164,"&gt;-9999"),N129+20))</f>
        <v>145</v>
      </c>
      <c r="Y129">
        <f t="shared" ca="1" si="39"/>
        <v>20</v>
      </c>
      <c r="Z129">
        <f t="shared" si="40"/>
        <v>-62</v>
      </c>
      <c r="AA129" t="str">
        <f t="shared" si="41"/>
        <v>No</v>
      </c>
      <c r="AB129" t="str">
        <f t="shared" ca="1" si="42"/>
        <v>Yes</v>
      </c>
      <c r="AC129" t="str">
        <f t="shared" si="43"/>
        <v>No</v>
      </c>
      <c r="AD129" t="str">
        <f t="shared" ca="1" si="44"/>
        <v>No</v>
      </c>
    </row>
    <row r="130" spans="12:30">
      <c r="L130" t="str">
        <f>'Player Board'!B129</f>
        <v>Chuba Hubbard</v>
      </c>
      <c r="M130" t="str">
        <f>'Player Board'!C129</f>
        <v>RB</v>
      </c>
      <c r="N130">
        <f>'Player Board'!H129</f>
        <v>126</v>
      </c>
      <c r="O130">
        <f>'Player Board'!Q129</f>
        <v>64</v>
      </c>
      <c r="P130">
        <f>IF(NOT(AND('Player Board'!J129="No",'Player Board'!K129="No")),-9999,(325-N130*2)+((IF(M130="QB",INDEX('Manager Profiles'!$T$5:$T$12,MATCH($B$5,'Manager Profiles'!$A$5:$A$12,0)),IF(M130="RB",INDEX('Manager Profiles'!$U$5:$U$12,MATCH($B$5,'Manager Profiles'!$A$5:$A$12,0)),IF(M130="WR",INDEX('Manager Profiles'!$V$5:$V$12,MATCH($B$5,'Manager Profiles'!$A$5:$A$12,0)),IF(M130="TE",INDEX('Manager Profiles'!$W$5:$W$12,MATCH($B$5,'Manager Profiles'!$A$5:$A$12,0)),0)))))*3)+(IF($B$6="Contender",IF('Player Board'!R129="Veteran",12,IF('Player Board'!R129="Prime",7,IF('Player Board'!R129="Young",3,-4))),IF($B$6="Rebuilder",IF('Player Board'!R129="Rookie",15,IF('Player Board'!R129="Young",10,IF('Player Board'!R129="Prime",2,-15))),IF('Player Board'!R129="Veteran",-2,IF('Player Board'!R129="Rookie",4,2)))))+MAX(-20,MIN(20,($B$4-IF(O130="",N130,O130))*2))+(IFERROR(IF(INDEX('Player Board'!$F$4:$F$163,MATCH(N130+1,'Player Board'!$H$4:$H$163,0))&gt;'Player Board'!F129,8,0),0)))</f>
        <v>82</v>
      </c>
      <c r="Q130">
        <f t="shared" si="35"/>
        <v>82.007400000000004</v>
      </c>
      <c r="R130">
        <f>IF(AND('Draft Tracker'!D129="Noah",'Draft Tracker'!A129&gt;$B$4),'Draft Tracker'!A129,9999)</f>
        <v>9999</v>
      </c>
      <c r="S130">
        <f>IF(M130="","",IF(M130="QB",INDEX('Manager Profiles'!$T$5:$T$12,MATCH("Noah",'Manager Profiles'!$A$5:$A$12,0)),IF(M130="RB",INDEX('Manager Profiles'!$U$5:$U$12,MATCH("Noah",'Manager Profiles'!$A$5:$A$12,0)),IF(M130="WR",INDEX('Manager Profiles'!$V$5:$V$12,MATCH("Noah",'Manager Profiles'!$A$5:$A$12,0)),IF(M130="TE",INDEX('Manager Profiles'!$W$5:$W$12,MATCH("Noah",'Manager Profiles'!$A$5:$A$12,0)),0)))))</f>
        <v>4</v>
      </c>
      <c r="T130">
        <f>IF(M130="","",IF(M130="QB",INDEX('Manager Profiles'!$T$5:$T$12,MATCH($B$5,'Manager Profiles'!$A$5:$A$12,0)),IF(M130="RB",INDEX('Manager Profiles'!$U$5:$U$12,MATCH($B$5,'Manager Profiles'!$A$5:$A$12,0)),IF(M130="WR",INDEX('Manager Profiles'!$V$5:$V$12,MATCH($B$5,'Manager Profiles'!$A$5:$A$12,0)),IF(M130="TE",INDEX('Manager Profiles'!$W$5:$W$12,MATCH($B$5,'Manager Profiles'!$A$5:$A$12,0)),0)))))</f>
        <v>9</v>
      </c>
      <c r="U130">
        <f t="shared" si="36"/>
        <v>-5</v>
      </c>
      <c r="V130">
        <f t="shared" si="37"/>
        <v>0</v>
      </c>
      <c r="W130">
        <f t="shared" ca="1" si="38"/>
        <v>-9999</v>
      </c>
      <c r="X130">
        <f ca="1">IF(M130="","",IFERROR(_xludf.MINIFS($N$5:$N$164,$M$5:$M$164,M130,$N$5:$N$164,"&gt;"&amp;N130,$P$5:$P$164,"&gt;-9999"),N130+20))</f>
        <v>146</v>
      </c>
      <c r="Y130">
        <f t="shared" ca="1" si="39"/>
        <v>20</v>
      </c>
      <c r="Z130">
        <f t="shared" si="40"/>
        <v>-63</v>
      </c>
      <c r="AA130" t="str">
        <f t="shared" si="41"/>
        <v>No</v>
      </c>
      <c r="AB130" t="str">
        <f t="shared" ca="1" si="42"/>
        <v>Yes</v>
      </c>
      <c r="AC130" t="str">
        <f t="shared" si="43"/>
        <v>No</v>
      </c>
      <c r="AD130" t="str">
        <f t="shared" ca="1" si="44"/>
        <v>No</v>
      </c>
    </row>
    <row r="131" spans="12:30">
      <c r="L131" t="str">
        <f>'Player Board'!B130</f>
        <v>Dalton Kincaid</v>
      </c>
      <c r="M131" t="str">
        <f>'Player Board'!C130</f>
        <v>TE</v>
      </c>
      <c r="N131">
        <f>'Player Board'!H130</f>
        <v>127</v>
      </c>
      <c r="O131">
        <f>'Player Board'!Q130</f>
        <v>65</v>
      </c>
      <c r="P131">
        <f>IF(NOT(AND('Player Board'!J130="No",'Player Board'!K130="No")),-9999,(325-N131*2)+((IF(M131="QB",INDEX('Manager Profiles'!$T$5:$T$12,MATCH($B$5,'Manager Profiles'!$A$5:$A$12,0)),IF(M131="RB",INDEX('Manager Profiles'!$U$5:$U$12,MATCH($B$5,'Manager Profiles'!$A$5:$A$12,0)),IF(M131="WR",INDEX('Manager Profiles'!$V$5:$V$12,MATCH($B$5,'Manager Profiles'!$A$5:$A$12,0)),IF(M131="TE",INDEX('Manager Profiles'!$W$5:$W$12,MATCH($B$5,'Manager Profiles'!$A$5:$A$12,0)),0)))))*3)+(IF($B$6="Contender",IF('Player Board'!R130="Veteran",12,IF('Player Board'!R130="Prime",7,IF('Player Board'!R130="Young",3,-4))),IF($B$6="Rebuilder",IF('Player Board'!R130="Rookie",15,IF('Player Board'!R130="Young",10,IF('Player Board'!R130="Prime",2,-15))),IF('Player Board'!R130="Veteran",-2,IF('Player Board'!R130="Rookie",4,2)))))+MAX(-20,MIN(20,($B$4-IF(O131="",N131,O131))*2))+(IFERROR(IF(INDEX('Player Board'!$F$4:$F$163,MATCH(N131+1,'Player Board'!$H$4:$H$163,0))&gt;'Player Board'!F130,8,0),0)))</f>
        <v>62</v>
      </c>
      <c r="Q131">
        <f t="shared" si="35"/>
        <v>62.007300000000001</v>
      </c>
      <c r="R131">
        <f>IF(AND('Draft Tracker'!D130="Noah",'Draft Tracker'!A130&gt;$B$4),'Draft Tracker'!A130,9999)</f>
        <v>9999</v>
      </c>
      <c r="S131">
        <f>IF(M131="","",IF(M131="QB",INDEX('Manager Profiles'!$T$5:$T$12,MATCH("Noah",'Manager Profiles'!$A$5:$A$12,0)),IF(M131="RB",INDEX('Manager Profiles'!$U$5:$U$12,MATCH("Noah",'Manager Profiles'!$A$5:$A$12,0)),IF(M131="WR",INDEX('Manager Profiles'!$V$5:$V$12,MATCH("Noah",'Manager Profiles'!$A$5:$A$12,0)),IF(M131="TE",INDEX('Manager Profiles'!$W$5:$W$12,MATCH("Noah",'Manager Profiles'!$A$5:$A$12,0)),0)))))</f>
        <v>7</v>
      </c>
      <c r="T131">
        <f>IF(M131="","",IF(M131="QB",INDEX('Manager Profiles'!$T$5:$T$12,MATCH($B$5,'Manager Profiles'!$A$5:$A$12,0)),IF(M131="RB",INDEX('Manager Profiles'!$U$5:$U$12,MATCH($B$5,'Manager Profiles'!$A$5:$A$12,0)),IF(M131="WR",INDEX('Manager Profiles'!$V$5:$V$12,MATCH($B$5,'Manager Profiles'!$A$5:$A$12,0)),IF(M131="TE",INDEX('Manager Profiles'!$W$5:$W$12,MATCH($B$5,'Manager Profiles'!$A$5:$A$12,0)),0)))))</f>
        <v>3</v>
      </c>
      <c r="U131">
        <f t="shared" si="36"/>
        <v>4</v>
      </c>
      <c r="V131">
        <f t="shared" si="37"/>
        <v>0</v>
      </c>
      <c r="W131">
        <f t="shared" ca="1" si="38"/>
        <v>-9999</v>
      </c>
      <c r="X131">
        <f ca="1">IF(M131="","",IFERROR(_xludf.MINIFS($N$5:$N$164,$M$5:$M$164,M131,$N$5:$N$164,"&gt;"&amp;N131,$P$5:$P$164,"&gt;-9999"),N131+20))</f>
        <v>147</v>
      </c>
      <c r="Y131">
        <f t="shared" ca="1" si="39"/>
        <v>20</v>
      </c>
      <c r="Z131">
        <f t="shared" si="40"/>
        <v>-64</v>
      </c>
      <c r="AA131" t="str">
        <f t="shared" si="41"/>
        <v>No</v>
      </c>
      <c r="AB131" t="str">
        <f t="shared" ca="1" si="42"/>
        <v>Yes</v>
      </c>
      <c r="AC131" t="str">
        <f t="shared" si="43"/>
        <v>No</v>
      </c>
      <c r="AD131" t="str">
        <f t="shared" ca="1" si="44"/>
        <v>No</v>
      </c>
    </row>
    <row r="132" spans="12:30">
      <c r="L132" t="str">
        <f>'Player Board'!B131</f>
        <v>Jalen Coker</v>
      </c>
      <c r="M132" t="str">
        <f>'Player Board'!C131</f>
        <v>WR</v>
      </c>
      <c r="N132">
        <f>'Player Board'!H131</f>
        <v>128</v>
      </c>
      <c r="O132">
        <f>'Player Board'!Q131</f>
        <v>66</v>
      </c>
      <c r="P132">
        <f>IF(NOT(AND('Player Board'!J131="No",'Player Board'!K131="No")),-9999,(325-N132*2)+((IF(M132="QB",INDEX('Manager Profiles'!$T$5:$T$12,MATCH($B$5,'Manager Profiles'!$A$5:$A$12,0)),IF(M132="RB",INDEX('Manager Profiles'!$U$5:$U$12,MATCH($B$5,'Manager Profiles'!$A$5:$A$12,0)),IF(M132="WR",INDEX('Manager Profiles'!$V$5:$V$12,MATCH($B$5,'Manager Profiles'!$A$5:$A$12,0)),IF(M132="TE",INDEX('Manager Profiles'!$W$5:$W$12,MATCH($B$5,'Manager Profiles'!$A$5:$A$12,0)),0)))))*3)+(IF($B$6="Contender",IF('Player Board'!R131="Veteran",12,IF('Player Board'!R131="Prime",7,IF('Player Board'!R131="Young",3,-4))),IF($B$6="Rebuilder",IF('Player Board'!R131="Rookie",15,IF('Player Board'!R131="Young",10,IF('Player Board'!R131="Prime",2,-15))),IF('Player Board'!R131="Veteran",-2,IF('Player Board'!R131="Rookie",4,2)))))+MAX(-20,MIN(20,($B$4-IF(O132="",N132,O132))*2))+(IFERROR(IF(INDEX('Player Board'!$F$4:$F$163,MATCH(N132+1,'Player Board'!$H$4:$H$163,0))&gt;'Player Board'!F131,8,0),0)))</f>
        <v>60</v>
      </c>
      <c r="Q132">
        <f t="shared" si="35"/>
        <v>60.007199999999997</v>
      </c>
      <c r="R132">
        <f>IF(AND('Draft Tracker'!D131="Noah",'Draft Tracker'!A131&gt;$B$4),'Draft Tracker'!A131,9999)</f>
        <v>9999</v>
      </c>
      <c r="S132">
        <f>IF(M132="","",IF(M132="QB",INDEX('Manager Profiles'!$T$5:$T$12,MATCH("Noah",'Manager Profiles'!$A$5:$A$12,0)),IF(M132="RB",INDEX('Manager Profiles'!$U$5:$U$12,MATCH("Noah",'Manager Profiles'!$A$5:$A$12,0)),IF(M132="WR",INDEX('Manager Profiles'!$V$5:$V$12,MATCH("Noah",'Manager Profiles'!$A$5:$A$12,0)),IF(M132="TE",INDEX('Manager Profiles'!$W$5:$W$12,MATCH("Noah",'Manager Profiles'!$A$5:$A$12,0)),0)))))</f>
        <v>1</v>
      </c>
      <c r="T132">
        <f>IF(M132="","",IF(M132="QB",INDEX('Manager Profiles'!$T$5:$T$12,MATCH($B$5,'Manager Profiles'!$A$5:$A$12,0)),IF(M132="RB",INDEX('Manager Profiles'!$U$5:$U$12,MATCH($B$5,'Manager Profiles'!$A$5:$A$12,0)),IF(M132="WR",INDEX('Manager Profiles'!$V$5:$V$12,MATCH($B$5,'Manager Profiles'!$A$5:$A$12,0)),IF(M132="TE",INDEX('Manager Profiles'!$W$5:$W$12,MATCH($B$5,'Manager Profiles'!$A$5:$A$12,0)),0)))))</f>
        <v>3</v>
      </c>
      <c r="U132">
        <f t="shared" si="36"/>
        <v>-2</v>
      </c>
      <c r="V132">
        <f t="shared" si="37"/>
        <v>0</v>
      </c>
      <c r="W132">
        <f t="shared" ca="1" si="38"/>
        <v>-9999</v>
      </c>
      <c r="X132">
        <f ca="1">IF(M132="","",IFERROR(_xludf.MINIFS($N$5:$N$164,$M$5:$M$164,M132,$N$5:$N$164,"&gt;"&amp;N132,$P$5:$P$164,"&gt;-9999"),N132+20))</f>
        <v>148</v>
      </c>
      <c r="Y132">
        <f t="shared" ca="1" si="39"/>
        <v>20</v>
      </c>
      <c r="Z132">
        <f t="shared" si="40"/>
        <v>-65</v>
      </c>
      <c r="AA132" t="str">
        <f t="shared" si="41"/>
        <v>No</v>
      </c>
      <c r="AB132" t="str">
        <f t="shared" ca="1" si="42"/>
        <v>Yes</v>
      </c>
      <c r="AC132" t="str">
        <f t="shared" si="43"/>
        <v>No</v>
      </c>
      <c r="AD132" t="str">
        <f t="shared" ca="1" si="44"/>
        <v>No</v>
      </c>
    </row>
    <row r="133" spans="12:30">
      <c r="L133" t="str">
        <f>'Player Board'!B132</f>
        <v>Jonah Coleman</v>
      </c>
      <c r="M133" t="str">
        <f>'Player Board'!C132</f>
        <v>RB</v>
      </c>
      <c r="N133">
        <f>'Player Board'!H132</f>
        <v>129</v>
      </c>
      <c r="O133">
        <f>'Player Board'!Q132</f>
        <v>67</v>
      </c>
      <c r="P133">
        <f>IF(NOT(AND('Player Board'!J132="No",'Player Board'!K132="No")),-9999,(325-N133*2)+((IF(M133="QB",INDEX('Manager Profiles'!$T$5:$T$12,MATCH($B$5,'Manager Profiles'!$A$5:$A$12,0)),IF(M133="RB",INDEX('Manager Profiles'!$U$5:$U$12,MATCH($B$5,'Manager Profiles'!$A$5:$A$12,0)),IF(M133="WR",INDEX('Manager Profiles'!$V$5:$V$12,MATCH($B$5,'Manager Profiles'!$A$5:$A$12,0)),IF(M133="TE",INDEX('Manager Profiles'!$W$5:$W$12,MATCH($B$5,'Manager Profiles'!$A$5:$A$12,0)),0)))))*3)+(IF($B$6="Contender",IF('Player Board'!R132="Veteran",12,IF('Player Board'!R132="Prime",7,IF('Player Board'!R132="Young",3,-4))),IF($B$6="Rebuilder",IF('Player Board'!R132="Rookie",15,IF('Player Board'!R132="Young",10,IF('Player Board'!R132="Prime",2,-15))),IF('Player Board'!R132="Veteran",-2,IF('Player Board'!R132="Rookie",4,2)))))+MAX(-20,MIN(20,($B$4-IF(O133="",N133,O133))*2))+(IFERROR(IF(INDEX('Player Board'!$F$4:$F$163,MATCH(N133+1,'Player Board'!$H$4:$H$163,0))&gt;'Player Board'!F132,8,0),0)))</f>
        <v>78</v>
      </c>
      <c r="Q133">
        <f t="shared" ref="Q133:Q164" si="45">P133+(200-N133)/10000</f>
        <v>78.007099999999994</v>
      </c>
      <c r="R133">
        <f>IF(AND('Draft Tracker'!D132="Noah",'Draft Tracker'!A132&gt;$B$4),'Draft Tracker'!A132,9999)</f>
        <v>9999</v>
      </c>
      <c r="S133">
        <f>IF(M133="","",IF(M133="QB",INDEX('Manager Profiles'!$T$5:$T$12,MATCH("Noah",'Manager Profiles'!$A$5:$A$12,0)),IF(M133="RB",INDEX('Manager Profiles'!$U$5:$U$12,MATCH("Noah",'Manager Profiles'!$A$5:$A$12,0)),IF(M133="WR",INDEX('Manager Profiles'!$V$5:$V$12,MATCH("Noah",'Manager Profiles'!$A$5:$A$12,0)),IF(M133="TE",INDEX('Manager Profiles'!$W$5:$W$12,MATCH("Noah",'Manager Profiles'!$A$5:$A$12,0)),0)))))</f>
        <v>4</v>
      </c>
      <c r="T133">
        <f>IF(M133="","",IF(M133="QB",INDEX('Manager Profiles'!$T$5:$T$12,MATCH($B$5,'Manager Profiles'!$A$5:$A$12,0)),IF(M133="RB",INDEX('Manager Profiles'!$U$5:$U$12,MATCH($B$5,'Manager Profiles'!$A$5:$A$12,0)),IF(M133="WR",INDEX('Manager Profiles'!$V$5:$V$12,MATCH($B$5,'Manager Profiles'!$A$5:$A$12,0)),IF(M133="TE",INDEX('Manager Profiles'!$W$5:$W$12,MATCH($B$5,'Manager Profiles'!$A$5:$A$12,0)),0)))))</f>
        <v>9</v>
      </c>
      <c r="U133">
        <f t="shared" ref="U133:U164" si="46">IF(S133="","",S133-T133)</f>
        <v>-5</v>
      </c>
      <c r="V133">
        <f t="shared" ref="V133:V164" si="47">IF(O133="","",MAX(0,$B$8-O133))</f>
        <v>0</v>
      </c>
      <c r="W133">
        <f t="shared" ref="W133:W164" ca="1" si="48">IF(OR(L133="",P133=-9999,AD133&lt;&gt;"Yes"),-9999,ROUND(S133*6+MAX(0,U133)*7+V133*7+MIN(20,Y133)*5+MAX(0,Z133)*10+MAX(0,50-N133)/4,1))</f>
        <v>-9999</v>
      </c>
      <c r="X133">
        <f ca="1">IF(M133="","",IFERROR(_xludf.MINIFS($N$5:$N$164,$M$5:$M$164,M133,$N$5:$N$164,"&gt;"&amp;N133,$P$5:$P$164,"&gt;-9999"),N133+20))</f>
        <v>149</v>
      </c>
      <c r="Y133">
        <f t="shared" ref="Y133:Y164" ca="1" si="49">IF(X133="","",MAX(0,X133-N133))</f>
        <v>20</v>
      </c>
      <c r="Z133">
        <f t="shared" ref="Z133:Z164" si="50">IF(O133="","",$B$4-O133)</f>
        <v>-66</v>
      </c>
      <c r="AA133" t="str">
        <f t="shared" ref="AA133:AA164" si="51">IF(AND(V133&gt;0,Z133&gt;=0,S133&gt;=4,$B$5&lt;&gt;"Noah"),"Yes","No")</f>
        <v>No</v>
      </c>
      <c r="AB133" t="str">
        <f t="shared" ref="AB133:AB164" ca="1" si="52">IF(Y133&gt;=12,"Yes","No")</f>
        <v>Yes</v>
      </c>
      <c r="AC133" t="str">
        <f t="shared" ref="AC133:AC164" si="53">IF(Z133&gt;=3,"Yes","No")</f>
        <v>No</v>
      </c>
      <c r="AD133" t="str">
        <f t="shared" ref="AD133:AD164" ca="1" si="54">IF(AND(V133&gt;=3,S133&gt;=5,U133&gt;=3,Y133&gt;=12,Z133&gt;=3,$B$5&lt;&gt;"Noah"),"Yes","No")</f>
        <v>No</v>
      </c>
    </row>
    <row r="134" spans="12:30">
      <c r="L134" t="str">
        <f>'Player Board'!B133</f>
        <v>Rico Dowdle</v>
      </c>
      <c r="M134" t="str">
        <f>'Player Board'!C133</f>
        <v>RB</v>
      </c>
      <c r="N134">
        <f>'Player Board'!H133</f>
        <v>130</v>
      </c>
      <c r="O134">
        <f>'Player Board'!Q133</f>
        <v>68</v>
      </c>
      <c r="P134">
        <f>IF(NOT(AND('Player Board'!J133="No",'Player Board'!K133="No")),-9999,(325-N134*2)+((IF(M134="QB",INDEX('Manager Profiles'!$T$5:$T$12,MATCH($B$5,'Manager Profiles'!$A$5:$A$12,0)),IF(M134="RB",INDEX('Manager Profiles'!$U$5:$U$12,MATCH($B$5,'Manager Profiles'!$A$5:$A$12,0)),IF(M134="WR",INDEX('Manager Profiles'!$V$5:$V$12,MATCH($B$5,'Manager Profiles'!$A$5:$A$12,0)),IF(M134="TE",INDEX('Manager Profiles'!$W$5:$W$12,MATCH($B$5,'Manager Profiles'!$A$5:$A$12,0)),0)))))*3)+(IF($B$6="Contender",IF('Player Board'!R133="Veteran",12,IF('Player Board'!R133="Prime",7,IF('Player Board'!R133="Young",3,-4))),IF($B$6="Rebuilder",IF('Player Board'!R133="Rookie",15,IF('Player Board'!R133="Young",10,IF('Player Board'!R133="Prime",2,-15))),IF('Player Board'!R133="Veteran",-2,IF('Player Board'!R133="Rookie",4,2)))))+MAX(-20,MIN(20,($B$4-IF(O134="",N134,O134))*2))+(IFERROR(IF(INDEX('Player Board'!$F$4:$F$163,MATCH(N134+1,'Player Board'!$H$4:$H$163,0))&gt;'Player Board'!F133,8,0),0)))</f>
        <v>74</v>
      </c>
      <c r="Q134">
        <f t="shared" si="45"/>
        <v>74.007000000000005</v>
      </c>
      <c r="R134">
        <f>IF(AND('Draft Tracker'!D133="Noah",'Draft Tracker'!A133&gt;$B$4),'Draft Tracker'!A133,9999)</f>
        <v>9999</v>
      </c>
      <c r="S134">
        <f>IF(M134="","",IF(M134="QB",INDEX('Manager Profiles'!$T$5:$T$12,MATCH("Noah",'Manager Profiles'!$A$5:$A$12,0)),IF(M134="RB",INDEX('Manager Profiles'!$U$5:$U$12,MATCH("Noah",'Manager Profiles'!$A$5:$A$12,0)),IF(M134="WR",INDEX('Manager Profiles'!$V$5:$V$12,MATCH("Noah",'Manager Profiles'!$A$5:$A$12,0)),IF(M134="TE",INDEX('Manager Profiles'!$W$5:$W$12,MATCH("Noah",'Manager Profiles'!$A$5:$A$12,0)),0)))))</f>
        <v>4</v>
      </c>
      <c r="T134">
        <f>IF(M134="","",IF(M134="QB",INDEX('Manager Profiles'!$T$5:$T$12,MATCH($B$5,'Manager Profiles'!$A$5:$A$12,0)),IF(M134="RB",INDEX('Manager Profiles'!$U$5:$U$12,MATCH($B$5,'Manager Profiles'!$A$5:$A$12,0)),IF(M134="WR",INDEX('Manager Profiles'!$V$5:$V$12,MATCH($B$5,'Manager Profiles'!$A$5:$A$12,0)),IF(M134="TE",INDEX('Manager Profiles'!$W$5:$W$12,MATCH($B$5,'Manager Profiles'!$A$5:$A$12,0)),0)))))</f>
        <v>9</v>
      </c>
      <c r="U134">
        <f t="shared" si="46"/>
        <v>-5</v>
      </c>
      <c r="V134">
        <f t="shared" si="47"/>
        <v>0</v>
      </c>
      <c r="W134">
        <f t="shared" ca="1" si="48"/>
        <v>-9999</v>
      </c>
      <c r="X134">
        <f ca="1">IF(M134="","",IFERROR(_xludf.MINIFS($N$5:$N$164,$M$5:$M$164,M134,$N$5:$N$164,"&gt;"&amp;N134,$P$5:$P$164,"&gt;-9999"),N134+20))</f>
        <v>150</v>
      </c>
      <c r="Y134">
        <f t="shared" ca="1" si="49"/>
        <v>20</v>
      </c>
      <c r="Z134">
        <f t="shared" si="50"/>
        <v>-67</v>
      </c>
      <c r="AA134" t="str">
        <f t="shared" si="51"/>
        <v>No</v>
      </c>
      <c r="AB134" t="str">
        <f t="shared" ca="1" si="52"/>
        <v>Yes</v>
      </c>
      <c r="AC134" t="str">
        <f t="shared" si="53"/>
        <v>No</v>
      </c>
      <c r="AD134" t="str">
        <f t="shared" ca="1" si="54"/>
        <v>No</v>
      </c>
    </row>
    <row r="135" spans="12:30">
      <c r="L135" t="str">
        <f>'Player Board'!B134</f>
        <v>Jake Ferguson</v>
      </c>
      <c r="M135" t="str">
        <f>'Player Board'!C134</f>
        <v>TE</v>
      </c>
      <c r="N135">
        <f>'Player Board'!H134</f>
        <v>131</v>
      </c>
      <c r="O135">
        <f>'Player Board'!Q134</f>
        <v>69</v>
      </c>
      <c r="P135">
        <f>IF(NOT(AND('Player Board'!J134="No",'Player Board'!K134="No")),-9999,(325-N135*2)+((IF(M135="QB",INDEX('Manager Profiles'!$T$5:$T$12,MATCH($B$5,'Manager Profiles'!$A$5:$A$12,0)),IF(M135="RB",INDEX('Manager Profiles'!$U$5:$U$12,MATCH($B$5,'Manager Profiles'!$A$5:$A$12,0)),IF(M135="WR",INDEX('Manager Profiles'!$V$5:$V$12,MATCH($B$5,'Manager Profiles'!$A$5:$A$12,0)),IF(M135="TE",INDEX('Manager Profiles'!$W$5:$W$12,MATCH($B$5,'Manager Profiles'!$A$5:$A$12,0)),0)))))*3)+(IF($B$6="Contender",IF('Player Board'!R134="Veteran",12,IF('Player Board'!R134="Prime",7,IF('Player Board'!R134="Young",3,-4))),IF($B$6="Rebuilder",IF('Player Board'!R134="Rookie",15,IF('Player Board'!R134="Young",10,IF('Player Board'!R134="Prime",2,-15))),IF('Player Board'!R134="Veteran",-2,IF('Player Board'!R134="Rookie",4,2)))))+MAX(-20,MIN(20,($B$4-IF(O135="",N135,O135))*2))+(IFERROR(IF(INDEX('Player Board'!$F$4:$F$163,MATCH(N135+1,'Player Board'!$H$4:$H$163,0))&gt;'Player Board'!F134,8,0),0)))</f>
        <v>54</v>
      </c>
      <c r="Q135">
        <f t="shared" si="45"/>
        <v>54.006900000000002</v>
      </c>
      <c r="R135">
        <f>IF(AND('Draft Tracker'!D134="Noah",'Draft Tracker'!A134&gt;$B$4),'Draft Tracker'!A134,9999)</f>
        <v>9999</v>
      </c>
      <c r="S135">
        <f>IF(M135="","",IF(M135="QB",INDEX('Manager Profiles'!$T$5:$T$12,MATCH("Noah",'Manager Profiles'!$A$5:$A$12,0)),IF(M135="RB",INDEX('Manager Profiles'!$U$5:$U$12,MATCH("Noah",'Manager Profiles'!$A$5:$A$12,0)),IF(M135="WR",INDEX('Manager Profiles'!$V$5:$V$12,MATCH("Noah",'Manager Profiles'!$A$5:$A$12,0)),IF(M135="TE",INDEX('Manager Profiles'!$W$5:$W$12,MATCH("Noah",'Manager Profiles'!$A$5:$A$12,0)),0)))))</f>
        <v>7</v>
      </c>
      <c r="T135">
        <f>IF(M135="","",IF(M135="QB",INDEX('Manager Profiles'!$T$5:$T$12,MATCH($B$5,'Manager Profiles'!$A$5:$A$12,0)),IF(M135="RB",INDEX('Manager Profiles'!$U$5:$U$12,MATCH($B$5,'Manager Profiles'!$A$5:$A$12,0)),IF(M135="WR",INDEX('Manager Profiles'!$V$5:$V$12,MATCH($B$5,'Manager Profiles'!$A$5:$A$12,0)),IF(M135="TE",INDEX('Manager Profiles'!$W$5:$W$12,MATCH($B$5,'Manager Profiles'!$A$5:$A$12,0)),0)))))</f>
        <v>3</v>
      </c>
      <c r="U135">
        <f t="shared" si="46"/>
        <v>4</v>
      </c>
      <c r="V135">
        <f t="shared" si="47"/>
        <v>0</v>
      </c>
      <c r="W135">
        <f t="shared" ca="1" si="48"/>
        <v>-9999</v>
      </c>
      <c r="X135">
        <f ca="1">IF(M135="","",IFERROR(_xludf.MINIFS($N$5:$N$164,$M$5:$M$164,M135,$N$5:$N$164,"&gt;"&amp;N135,$P$5:$P$164,"&gt;-9999"),N135+20))</f>
        <v>151</v>
      </c>
      <c r="Y135">
        <f t="shared" ca="1" si="49"/>
        <v>20</v>
      </c>
      <c r="Z135">
        <f t="shared" si="50"/>
        <v>-68</v>
      </c>
      <c r="AA135" t="str">
        <f t="shared" si="51"/>
        <v>No</v>
      </c>
      <c r="AB135" t="str">
        <f t="shared" ca="1" si="52"/>
        <v>Yes</v>
      </c>
      <c r="AC135" t="str">
        <f t="shared" si="53"/>
        <v>No</v>
      </c>
      <c r="AD135" t="str">
        <f t="shared" ca="1" si="54"/>
        <v>No</v>
      </c>
    </row>
    <row r="136" spans="12:30">
      <c r="L136" t="str">
        <f>'Player Board'!B135</f>
        <v>Antonio Williams</v>
      </c>
      <c r="M136" t="str">
        <f>'Player Board'!C135</f>
        <v>WR</v>
      </c>
      <c r="N136">
        <f>'Player Board'!H135</f>
        <v>132</v>
      </c>
      <c r="O136">
        <f>'Player Board'!Q135</f>
        <v>70</v>
      </c>
      <c r="P136">
        <f>IF(NOT(AND('Player Board'!J135="No",'Player Board'!K135="No")),-9999,(325-N136*2)+((IF(M136="QB",INDEX('Manager Profiles'!$T$5:$T$12,MATCH($B$5,'Manager Profiles'!$A$5:$A$12,0)),IF(M136="RB",INDEX('Manager Profiles'!$U$5:$U$12,MATCH($B$5,'Manager Profiles'!$A$5:$A$12,0)),IF(M136="WR",INDEX('Manager Profiles'!$V$5:$V$12,MATCH($B$5,'Manager Profiles'!$A$5:$A$12,0)),IF(M136="TE",INDEX('Manager Profiles'!$W$5:$W$12,MATCH($B$5,'Manager Profiles'!$A$5:$A$12,0)),0)))))*3)+(IF($B$6="Contender",IF('Player Board'!R135="Veteran",12,IF('Player Board'!R135="Prime",7,IF('Player Board'!R135="Young",3,-4))),IF($B$6="Rebuilder",IF('Player Board'!R135="Rookie",15,IF('Player Board'!R135="Young",10,IF('Player Board'!R135="Prime",2,-15))),IF('Player Board'!R135="Veteran",-2,IF('Player Board'!R135="Rookie",4,2)))))+MAX(-20,MIN(20,($B$4-IF(O136="",N136,O136))*2))+(IFERROR(IF(INDEX('Player Board'!$F$4:$F$163,MATCH(N136+1,'Player Board'!$H$4:$H$163,0))&gt;'Player Board'!F135,8,0),0)))</f>
        <v>54</v>
      </c>
      <c r="Q136">
        <f t="shared" si="45"/>
        <v>54.006799999999998</v>
      </c>
      <c r="R136">
        <f>IF(AND('Draft Tracker'!D135="Noah",'Draft Tracker'!A135&gt;$B$4),'Draft Tracker'!A135,9999)</f>
        <v>9999</v>
      </c>
      <c r="S136">
        <f>IF(M136="","",IF(M136="QB",INDEX('Manager Profiles'!$T$5:$T$12,MATCH("Noah",'Manager Profiles'!$A$5:$A$12,0)),IF(M136="RB",INDEX('Manager Profiles'!$U$5:$U$12,MATCH("Noah",'Manager Profiles'!$A$5:$A$12,0)),IF(M136="WR",INDEX('Manager Profiles'!$V$5:$V$12,MATCH("Noah",'Manager Profiles'!$A$5:$A$12,0)),IF(M136="TE",INDEX('Manager Profiles'!$W$5:$W$12,MATCH("Noah",'Manager Profiles'!$A$5:$A$12,0)),0)))))</f>
        <v>1</v>
      </c>
      <c r="T136">
        <f>IF(M136="","",IF(M136="QB",INDEX('Manager Profiles'!$T$5:$T$12,MATCH($B$5,'Manager Profiles'!$A$5:$A$12,0)),IF(M136="RB",INDEX('Manager Profiles'!$U$5:$U$12,MATCH($B$5,'Manager Profiles'!$A$5:$A$12,0)),IF(M136="WR",INDEX('Manager Profiles'!$V$5:$V$12,MATCH($B$5,'Manager Profiles'!$A$5:$A$12,0)),IF(M136="TE",INDEX('Manager Profiles'!$W$5:$W$12,MATCH($B$5,'Manager Profiles'!$A$5:$A$12,0)),0)))))</f>
        <v>3</v>
      </c>
      <c r="U136">
        <f t="shared" si="46"/>
        <v>-2</v>
      </c>
      <c r="V136">
        <f t="shared" si="47"/>
        <v>0</v>
      </c>
      <c r="W136">
        <f t="shared" ca="1" si="48"/>
        <v>-9999</v>
      </c>
      <c r="X136">
        <f ca="1">IF(M136="","",IFERROR(_xludf.MINIFS($N$5:$N$164,$M$5:$M$164,M136,$N$5:$N$164,"&gt;"&amp;N136,$P$5:$P$164,"&gt;-9999"),N136+20))</f>
        <v>152</v>
      </c>
      <c r="Y136">
        <f t="shared" ca="1" si="49"/>
        <v>20</v>
      </c>
      <c r="Z136">
        <f t="shared" si="50"/>
        <v>-69</v>
      </c>
      <c r="AA136" t="str">
        <f t="shared" si="51"/>
        <v>No</v>
      </c>
      <c r="AB136" t="str">
        <f t="shared" ca="1" si="52"/>
        <v>Yes</v>
      </c>
      <c r="AC136" t="str">
        <f t="shared" si="53"/>
        <v>No</v>
      </c>
      <c r="AD136" t="str">
        <f t="shared" ca="1" si="54"/>
        <v>No</v>
      </c>
    </row>
    <row r="137" spans="12:30">
      <c r="L137" t="str">
        <f>'Player Board'!B136</f>
        <v>Brenton Strange</v>
      </c>
      <c r="M137" t="str">
        <f>'Player Board'!C136</f>
        <v>TE</v>
      </c>
      <c r="N137">
        <f>'Player Board'!H136</f>
        <v>133</v>
      </c>
      <c r="O137">
        <f>'Player Board'!Q136</f>
        <v>71</v>
      </c>
      <c r="P137">
        <f>IF(NOT(AND('Player Board'!J136="No",'Player Board'!K136="No")),-9999,(325-N137*2)+((IF(M137="QB",INDEX('Manager Profiles'!$T$5:$T$12,MATCH($B$5,'Manager Profiles'!$A$5:$A$12,0)),IF(M137="RB",INDEX('Manager Profiles'!$U$5:$U$12,MATCH($B$5,'Manager Profiles'!$A$5:$A$12,0)),IF(M137="WR",INDEX('Manager Profiles'!$V$5:$V$12,MATCH($B$5,'Manager Profiles'!$A$5:$A$12,0)),IF(M137="TE",INDEX('Manager Profiles'!$W$5:$W$12,MATCH($B$5,'Manager Profiles'!$A$5:$A$12,0)),0)))))*3)+(IF($B$6="Contender",IF('Player Board'!R136="Veteran",12,IF('Player Board'!R136="Prime",7,IF('Player Board'!R136="Young",3,-4))),IF($B$6="Rebuilder",IF('Player Board'!R136="Rookie",15,IF('Player Board'!R136="Young",10,IF('Player Board'!R136="Prime",2,-15))),IF('Player Board'!R136="Veteran",-2,IF('Player Board'!R136="Rookie",4,2)))))+MAX(-20,MIN(20,($B$4-IF(O137="",N137,O137))*2))+(IFERROR(IF(INDEX('Player Board'!$F$4:$F$163,MATCH(N137+1,'Player Board'!$H$4:$H$163,0))&gt;'Player Board'!F136,8,0),0)))</f>
        <v>50</v>
      </c>
      <c r="Q137">
        <f t="shared" si="45"/>
        <v>50.006700000000002</v>
      </c>
      <c r="R137">
        <f>IF(AND('Draft Tracker'!D136="Noah",'Draft Tracker'!A136&gt;$B$4),'Draft Tracker'!A136,9999)</f>
        <v>9999</v>
      </c>
      <c r="S137">
        <f>IF(M137="","",IF(M137="QB",INDEX('Manager Profiles'!$T$5:$T$12,MATCH("Noah",'Manager Profiles'!$A$5:$A$12,0)),IF(M137="RB",INDEX('Manager Profiles'!$U$5:$U$12,MATCH("Noah",'Manager Profiles'!$A$5:$A$12,0)),IF(M137="WR",INDEX('Manager Profiles'!$V$5:$V$12,MATCH("Noah",'Manager Profiles'!$A$5:$A$12,0)),IF(M137="TE",INDEX('Manager Profiles'!$W$5:$W$12,MATCH("Noah",'Manager Profiles'!$A$5:$A$12,0)),0)))))</f>
        <v>7</v>
      </c>
      <c r="T137">
        <f>IF(M137="","",IF(M137="QB",INDEX('Manager Profiles'!$T$5:$T$12,MATCH($B$5,'Manager Profiles'!$A$5:$A$12,0)),IF(M137="RB",INDEX('Manager Profiles'!$U$5:$U$12,MATCH($B$5,'Manager Profiles'!$A$5:$A$12,0)),IF(M137="WR",INDEX('Manager Profiles'!$V$5:$V$12,MATCH($B$5,'Manager Profiles'!$A$5:$A$12,0)),IF(M137="TE",INDEX('Manager Profiles'!$W$5:$W$12,MATCH($B$5,'Manager Profiles'!$A$5:$A$12,0)),0)))))</f>
        <v>3</v>
      </c>
      <c r="U137">
        <f t="shared" si="46"/>
        <v>4</v>
      </c>
      <c r="V137">
        <f t="shared" si="47"/>
        <v>0</v>
      </c>
      <c r="W137">
        <f t="shared" ca="1" si="48"/>
        <v>-9999</v>
      </c>
      <c r="X137">
        <f ca="1">IF(M137="","",IFERROR(_xludf.MINIFS($N$5:$N$164,$M$5:$M$164,M137,$N$5:$N$164,"&gt;"&amp;N137,$P$5:$P$164,"&gt;-9999"),N137+20))</f>
        <v>153</v>
      </c>
      <c r="Y137">
        <f t="shared" ca="1" si="49"/>
        <v>20</v>
      </c>
      <c r="Z137">
        <f t="shared" si="50"/>
        <v>-70</v>
      </c>
      <c r="AA137" t="str">
        <f t="shared" si="51"/>
        <v>No</v>
      </c>
      <c r="AB137" t="str">
        <f t="shared" ca="1" si="52"/>
        <v>Yes</v>
      </c>
      <c r="AC137" t="str">
        <f t="shared" si="53"/>
        <v>No</v>
      </c>
      <c r="AD137" t="str">
        <f t="shared" ca="1" si="54"/>
        <v>No</v>
      </c>
    </row>
    <row r="138" spans="12:30">
      <c r="L138" t="str">
        <f>'Player Board'!B137</f>
        <v>Chris Godwin</v>
      </c>
      <c r="M138" t="str">
        <f>'Player Board'!C137</f>
        <v>WR</v>
      </c>
      <c r="N138">
        <f>'Player Board'!H137</f>
        <v>134</v>
      </c>
      <c r="O138">
        <f>'Player Board'!Q137</f>
        <v>72</v>
      </c>
      <c r="P138">
        <f>IF(NOT(AND('Player Board'!J137="No",'Player Board'!K137="No")),-9999,(325-N138*2)+((IF(M138="QB",INDEX('Manager Profiles'!$T$5:$T$12,MATCH($B$5,'Manager Profiles'!$A$5:$A$12,0)),IF(M138="RB",INDEX('Manager Profiles'!$U$5:$U$12,MATCH($B$5,'Manager Profiles'!$A$5:$A$12,0)),IF(M138="WR",INDEX('Manager Profiles'!$V$5:$V$12,MATCH($B$5,'Manager Profiles'!$A$5:$A$12,0)),IF(M138="TE",INDEX('Manager Profiles'!$W$5:$W$12,MATCH($B$5,'Manager Profiles'!$A$5:$A$12,0)),0)))))*3)+(IF($B$6="Contender",IF('Player Board'!R137="Veteran",12,IF('Player Board'!R137="Prime",7,IF('Player Board'!R137="Young",3,-4))),IF($B$6="Rebuilder",IF('Player Board'!R137="Rookie",15,IF('Player Board'!R137="Young",10,IF('Player Board'!R137="Prime",2,-15))),IF('Player Board'!R137="Veteran",-2,IF('Player Board'!R137="Rookie",4,2)))))+MAX(-20,MIN(20,($B$4-IF(O138="",N138,O138))*2))+(IFERROR(IF(INDEX('Player Board'!$F$4:$F$163,MATCH(N138+1,'Player Board'!$H$4:$H$163,0))&gt;'Player Board'!F137,8,0),0)))</f>
        <v>44</v>
      </c>
      <c r="Q138">
        <f t="shared" si="45"/>
        <v>44.006599999999999</v>
      </c>
      <c r="R138">
        <f>IF(AND('Draft Tracker'!D137="Noah",'Draft Tracker'!A137&gt;$B$4),'Draft Tracker'!A137,9999)</f>
        <v>9999</v>
      </c>
      <c r="S138">
        <f>IF(M138="","",IF(M138="QB",INDEX('Manager Profiles'!$T$5:$T$12,MATCH("Noah",'Manager Profiles'!$A$5:$A$12,0)),IF(M138="RB",INDEX('Manager Profiles'!$U$5:$U$12,MATCH("Noah",'Manager Profiles'!$A$5:$A$12,0)),IF(M138="WR",INDEX('Manager Profiles'!$V$5:$V$12,MATCH("Noah",'Manager Profiles'!$A$5:$A$12,0)),IF(M138="TE",INDEX('Manager Profiles'!$W$5:$W$12,MATCH("Noah",'Manager Profiles'!$A$5:$A$12,0)),0)))))</f>
        <v>1</v>
      </c>
      <c r="T138">
        <f>IF(M138="","",IF(M138="QB",INDEX('Manager Profiles'!$T$5:$T$12,MATCH($B$5,'Manager Profiles'!$A$5:$A$12,0)),IF(M138="RB",INDEX('Manager Profiles'!$U$5:$U$12,MATCH($B$5,'Manager Profiles'!$A$5:$A$12,0)),IF(M138="WR",INDEX('Manager Profiles'!$V$5:$V$12,MATCH($B$5,'Manager Profiles'!$A$5:$A$12,0)),IF(M138="TE",INDEX('Manager Profiles'!$W$5:$W$12,MATCH($B$5,'Manager Profiles'!$A$5:$A$12,0)),0)))))</f>
        <v>3</v>
      </c>
      <c r="U138">
        <f t="shared" si="46"/>
        <v>-2</v>
      </c>
      <c r="V138">
        <f t="shared" si="47"/>
        <v>0</v>
      </c>
      <c r="W138">
        <f t="shared" ca="1" si="48"/>
        <v>-9999</v>
      </c>
      <c r="X138">
        <f ca="1">IF(M138="","",IFERROR(_xludf.MINIFS($N$5:$N$164,$M$5:$M$164,M138,$N$5:$N$164,"&gt;"&amp;N138,$P$5:$P$164,"&gt;-9999"),N138+20))</f>
        <v>154</v>
      </c>
      <c r="Y138">
        <f t="shared" ca="1" si="49"/>
        <v>20</v>
      </c>
      <c r="Z138">
        <f t="shared" si="50"/>
        <v>-71</v>
      </c>
      <c r="AA138" t="str">
        <f t="shared" si="51"/>
        <v>No</v>
      </c>
      <c r="AB138" t="str">
        <f t="shared" ca="1" si="52"/>
        <v>Yes</v>
      </c>
      <c r="AC138" t="str">
        <f t="shared" si="53"/>
        <v>No</v>
      </c>
      <c r="AD138" t="str">
        <f t="shared" ca="1" si="54"/>
        <v>No</v>
      </c>
    </row>
    <row r="139" spans="12:30">
      <c r="L139" t="str">
        <f>'Player Board'!B138</f>
        <v>Khalil Shakir</v>
      </c>
      <c r="M139" t="str">
        <f>'Player Board'!C138</f>
        <v>WR</v>
      </c>
      <c r="N139">
        <f>'Player Board'!H138</f>
        <v>135</v>
      </c>
      <c r="O139">
        <f>'Player Board'!Q138</f>
        <v>73</v>
      </c>
      <c r="P139">
        <f>IF(NOT(AND('Player Board'!J138="No",'Player Board'!K138="No")),-9999,(325-N139*2)+((IF(M139="QB",INDEX('Manager Profiles'!$T$5:$T$12,MATCH($B$5,'Manager Profiles'!$A$5:$A$12,0)),IF(M139="RB",INDEX('Manager Profiles'!$U$5:$U$12,MATCH($B$5,'Manager Profiles'!$A$5:$A$12,0)),IF(M139="WR",INDEX('Manager Profiles'!$V$5:$V$12,MATCH($B$5,'Manager Profiles'!$A$5:$A$12,0)),IF(M139="TE",INDEX('Manager Profiles'!$W$5:$W$12,MATCH($B$5,'Manager Profiles'!$A$5:$A$12,0)),0)))))*3)+(IF($B$6="Contender",IF('Player Board'!R138="Veteran",12,IF('Player Board'!R138="Prime",7,IF('Player Board'!R138="Young",3,-4))),IF($B$6="Rebuilder",IF('Player Board'!R138="Rookie",15,IF('Player Board'!R138="Young",10,IF('Player Board'!R138="Prime",2,-15))),IF('Player Board'!R138="Veteran",-2,IF('Player Board'!R138="Rookie",4,2)))))+MAX(-20,MIN(20,($B$4-IF(O139="",N139,O139))*2))+(IFERROR(IF(INDEX('Player Board'!$F$4:$F$163,MATCH(N139+1,'Player Board'!$H$4:$H$163,0))&gt;'Player Board'!F138,8,0),0)))</f>
        <v>46</v>
      </c>
      <c r="Q139">
        <f t="shared" si="45"/>
        <v>46.006500000000003</v>
      </c>
      <c r="R139">
        <f>IF(AND('Draft Tracker'!D138="Noah",'Draft Tracker'!A138&gt;$B$4),'Draft Tracker'!A138,9999)</f>
        <v>9999</v>
      </c>
      <c r="S139">
        <f>IF(M139="","",IF(M139="QB",INDEX('Manager Profiles'!$T$5:$T$12,MATCH("Noah",'Manager Profiles'!$A$5:$A$12,0)),IF(M139="RB",INDEX('Manager Profiles'!$U$5:$U$12,MATCH("Noah",'Manager Profiles'!$A$5:$A$12,0)),IF(M139="WR",INDEX('Manager Profiles'!$V$5:$V$12,MATCH("Noah",'Manager Profiles'!$A$5:$A$12,0)),IF(M139="TE",INDEX('Manager Profiles'!$W$5:$W$12,MATCH("Noah",'Manager Profiles'!$A$5:$A$12,0)),0)))))</f>
        <v>1</v>
      </c>
      <c r="T139">
        <f>IF(M139="","",IF(M139="QB",INDEX('Manager Profiles'!$T$5:$T$12,MATCH($B$5,'Manager Profiles'!$A$5:$A$12,0)),IF(M139="RB",INDEX('Manager Profiles'!$U$5:$U$12,MATCH($B$5,'Manager Profiles'!$A$5:$A$12,0)),IF(M139="WR",INDEX('Manager Profiles'!$V$5:$V$12,MATCH($B$5,'Manager Profiles'!$A$5:$A$12,0)),IF(M139="TE",INDEX('Manager Profiles'!$W$5:$W$12,MATCH($B$5,'Manager Profiles'!$A$5:$A$12,0)),0)))))</f>
        <v>3</v>
      </c>
      <c r="U139">
        <f t="shared" si="46"/>
        <v>-2</v>
      </c>
      <c r="V139">
        <f t="shared" si="47"/>
        <v>0</v>
      </c>
      <c r="W139">
        <f t="shared" ca="1" si="48"/>
        <v>-9999</v>
      </c>
      <c r="X139">
        <f ca="1">IF(M139="","",IFERROR(_xludf.MINIFS($N$5:$N$164,$M$5:$M$164,M139,$N$5:$N$164,"&gt;"&amp;N139,$P$5:$P$164,"&gt;-9999"),N139+20))</f>
        <v>155</v>
      </c>
      <c r="Y139">
        <f t="shared" ca="1" si="49"/>
        <v>20</v>
      </c>
      <c r="Z139">
        <f t="shared" si="50"/>
        <v>-72</v>
      </c>
      <c r="AA139" t="str">
        <f t="shared" si="51"/>
        <v>No</v>
      </c>
      <c r="AB139" t="str">
        <f t="shared" ca="1" si="52"/>
        <v>Yes</v>
      </c>
      <c r="AC139" t="str">
        <f t="shared" si="53"/>
        <v>No</v>
      </c>
      <c r="AD139" t="str">
        <f t="shared" ca="1" si="54"/>
        <v>No</v>
      </c>
    </row>
    <row r="140" spans="12:30">
      <c r="L140" t="str">
        <f>'Player Board'!B139</f>
        <v>Rachaad White</v>
      </c>
      <c r="M140" t="str">
        <f>'Player Board'!C139</f>
        <v>RB</v>
      </c>
      <c r="N140">
        <f>'Player Board'!H139</f>
        <v>136</v>
      </c>
      <c r="O140">
        <f>'Player Board'!Q139</f>
        <v>74</v>
      </c>
      <c r="P140">
        <f>IF(NOT(AND('Player Board'!J139="No",'Player Board'!K139="No")),-9999,(325-N140*2)+((IF(M140="QB",INDEX('Manager Profiles'!$T$5:$T$12,MATCH($B$5,'Manager Profiles'!$A$5:$A$12,0)),IF(M140="RB",INDEX('Manager Profiles'!$U$5:$U$12,MATCH($B$5,'Manager Profiles'!$A$5:$A$12,0)),IF(M140="WR",INDEX('Manager Profiles'!$V$5:$V$12,MATCH($B$5,'Manager Profiles'!$A$5:$A$12,0)),IF(M140="TE",INDEX('Manager Profiles'!$W$5:$W$12,MATCH($B$5,'Manager Profiles'!$A$5:$A$12,0)),0)))))*3)+(IF($B$6="Contender",IF('Player Board'!R139="Veteran",12,IF('Player Board'!R139="Prime",7,IF('Player Board'!R139="Young",3,-4))),IF($B$6="Rebuilder",IF('Player Board'!R139="Rookie",15,IF('Player Board'!R139="Young",10,IF('Player Board'!R139="Prime",2,-15))),IF('Player Board'!R139="Veteran",-2,IF('Player Board'!R139="Rookie",4,2)))))+MAX(-20,MIN(20,($B$4-IF(O140="",N140,O140))*2))+(IFERROR(IF(INDEX('Player Board'!$F$4:$F$163,MATCH(N140+1,'Player Board'!$H$4:$H$163,0))&gt;'Player Board'!F139,8,0),0)))</f>
        <v>62</v>
      </c>
      <c r="Q140">
        <f t="shared" si="45"/>
        <v>62.006399999999999</v>
      </c>
      <c r="R140">
        <f>IF(AND('Draft Tracker'!D139="Noah",'Draft Tracker'!A139&gt;$B$4),'Draft Tracker'!A139,9999)</f>
        <v>9999</v>
      </c>
      <c r="S140">
        <f>IF(M140="","",IF(M140="QB",INDEX('Manager Profiles'!$T$5:$T$12,MATCH("Noah",'Manager Profiles'!$A$5:$A$12,0)),IF(M140="RB",INDEX('Manager Profiles'!$U$5:$U$12,MATCH("Noah",'Manager Profiles'!$A$5:$A$12,0)),IF(M140="WR",INDEX('Manager Profiles'!$V$5:$V$12,MATCH("Noah",'Manager Profiles'!$A$5:$A$12,0)),IF(M140="TE",INDEX('Manager Profiles'!$W$5:$W$12,MATCH("Noah",'Manager Profiles'!$A$5:$A$12,0)),0)))))</f>
        <v>4</v>
      </c>
      <c r="T140">
        <f>IF(M140="","",IF(M140="QB",INDEX('Manager Profiles'!$T$5:$T$12,MATCH($B$5,'Manager Profiles'!$A$5:$A$12,0)),IF(M140="RB",INDEX('Manager Profiles'!$U$5:$U$12,MATCH($B$5,'Manager Profiles'!$A$5:$A$12,0)),IF(M140="WR",INDEX('Manager Profiles'!$V$5:$V$12,MATCH($B$5,'Manager Profiles'!$A$5:$A$12,0)),IF(M140="TE",INDEX('Manager Profiles'!$W$5:$W$12,MATCH($B$5,'Manager Profiles'!$A$5:$A$12,0)),0)))))</f>
        <v>9</v>
      </c>
      <c r="U140">
        <f t="shared" si="46"/>
        <v>-5</v>
      </c>
      <c r="V140">
        <f t="shared" si="47"/>
        <v>0</v>
      </c>
      <c r="W140">
        <f t="shared" ca="1" si="48"/>
        <v>-9999</v>
      </c>
      <c r="X140">
        <f ca="1">IF(M140="","",IFERROR(_xludf.MINIFS($N$5:$N$164,$M$5:$M$164,M140,$N$5:$N$164,"&gt;"&amp;N140,$P$5:$P$164,"&gt;-9999"),N140+20))</f>
        <v>156</v>
      </c>
      <c r="Y140">
        <f t="shared" ca="1" si="49"/>
        <v>20</v>
      </c>
      <c r="Z140">
        <f t="shared" si="50"/>
        <v>-73</v>
      </c>
      <c r="AA140" t="str">
        <f t="shared" si="51"/>
        <v>No</v>
      </c>
      <c r="AB140" t="str">
        <f t="shared" ca="1" si="52"/>
        <v>Yes</v>
      </c>
      <c r="AC140" t="str">
        <f t="shared" si="53"/>
        <v>No</v>
      </c>
      <c r="AD140" t="str">
        <f t="shared" ca="1" si="54"/>
        <v>No</v>
      </c>
    </row>
    <row r="141" spans="12:30">
      <c r="L141" t="str">
        <f>'Player Board'!B140</f>
        <v>Jakobi Meyers</v>
      </c>
      <c r="M141" t="str">
        <f>'Player Board'!C140</f>
        <v>WR</v>
      </c>
      <c r="N141">
        <f>'Player Board'!H140</f>
        <v>137</v>
      </c>
      <c r="O141">
        <f>'Player Board'!Q140</f>
        <v>75</v>
      </c>
      <c r="P141">
        <f>IF(NOT(AND('Player Board'!J140="No",'Player Board'!K140="No")),-9999,(325-N141*2)+((IF(M141="QB",INDEX('Manager Profiles'!$T$5:$T$12,MATCH($B$5,'Manager Profiles'!$A$5:$A$12,0)),IF(M141="RB",INDEX('Manager Profiles'!$U$5:$U$12,MATCH($B$5,'Manager Profiles'!$A$5:$A$12,0)),IF(M141="WR",INDEX('Manager Profiles'!$V$5:$V$12,MATCH($B$5,'Manager Profiles'!$A$5:$A$12,0)),IF(M141="TE",INDEX('Manager Profiles'!$W$5:$W$12,MATCH($B$5,'Manager Profiles'!$A$5:$A$12,0)),0)))))*3)+(IF($B$6="Contender",IF('Player Board'!R140="Veteran",12,IF('Player Board'!R140="Prime",7,IF('Player Board'!R140="Young",3,-4))),IF($B$6="Rebuilder",IF('Player Board'!R140="Rookie",15,IF('Player Board'!R140="Young",10,IF('Player Board'!R140="Prime",2,-15))),IF('Player Board'!R140="Veteran",-2,IF('Player Board'!R140="Rookie",4,2)))))+MAX(-20,MIN(20,($B$4-IF(O141="",N141,O141))*2))+(IFERROR(IF(INDEX('Player Board'!$F$4:$F$163,MATCH(N141+1,'Player Board'!$H$4:$H$163,0))&gt;'Player Board'!F140,8,0),0)))</f>
        <v>38</v>
      </c>
      <c r="Q141">
        <f t="shared" si="45"/>
        <v>38.006300000000003</v>
      </c>
      <c r="R141">
        <f>IF(AND('Draft Tracker'!D140="Noah",'Draft Tracker'!A140&gt;$B$4),'Draft Tracker'!A140,9999)</f>
        <v>9999</v>
      </c>
      <c r="S141">
        <f>IF(M141="","",IF(M141="QB",INDEX('Manager Profiles'!$T$5:$T$12,MATCH("Noah",'Manager Profiles'!$A$5:$A$12,0)),IF(M141="RB",INDEX('Manager Profiles'!$U$5:$U$12,MATCH("Noah",'Manager Profiles'!$A$5:$A$12,0)),IF(M141="WR",INDEX('Manager Profiles'!$V$5:$V$12,MATCH("Noah",'Manager Profiles'!$A$5:$A$12,0)),IF(M141="TE",INDEX('Manager Profiles'!$W$5:$W$12,MATCH("Noah",'Manager Profiles'!$A$5:$A$12,0)),0)))))</f>
        <v>1</v>
      </c>
      <c r="T141">
        <f>IF(M141="","",IF(M141="QB",INDEX('Manager Profiles'!$T$5:$T$12,MATCH($B$5,'Manager Profiles'!$A$5:$A$12,0)),IF(M141="RB",INDEX('Manager Profiles'!$U$5:$U$12,MATCH($B$5,'Manager Profiles'!$A$5:$A$12,0)),IF(M141="WR",INDEX('Manager Profiles'!$V$5:$V$12,MATCH($B$5,'Manager Profiles'!$A$5:$A$12,0)),IF(M141="TE",INDEX('Manager Profiles'!$W$5:$W$12,MATCH($B$5,'Manager Profiles'!$A$5:$A$12,0)),0)))))</f>
        <v>3</v>
      </c>
      <c r="U141">
        <f t="shared" si="46"/>
        <v>-2</v>
      </c>
      <c r="V141">
        <f t="shared" si="47"/>
        <v>0</v>
      </c>
      <c r="W141">
        <f t="shared" ca="1" si="48"/>
        <v>-9999</v>
      </c>
      <c r="X141">
        <f ca="1">IF(M141="","",IFERROR(_xludf.MINIFS($N$5:$N$164,$M$5:$M$164,M141,$N$5:$N$164,"&gt;"&amp;N141,$P$5:$P$164,"&gt;-9999"),N141+20))</f>
        <v>157</v>
      </c>
      <c r="Y141">
        <f t="shared" ca="1" si="49"/>
        <v>20</v>
      </c>
      <c r="Z141">
        <f t="shared" si="50"/>
        <v>-74</v>
      </c>
      <c r="AA141" t="str">
        <f t="shared" si="51"/>
        <v>No</v>
      </c>
      <c r="AB141" t="str">
        <f t="shared" ca="1" si="52"/>
        <v>Yes</v>
      </c>
      <c r="AC141" t="str">
        <f t="shared" si="53"/>
        <v>No</v>
      </c>
      <c r="AD141" t="str">
        <f t="shared" ca="1" si="54"/>
        <v>No</v>
      </c>
    </row>
    <row r="142" spans="12:30">
      <c r="L142" t="str">
        <f>'Player Board'!B141</f>
        <v>Rhamondre Stevenson</v>
      </c>
      <c r="M142" t="str">
        <f>'Player Board'!C141</f>
        <v>RB</v>
      </c>
      <c r="N142">
        <f>'Player Board'!H141</f>
        <v>138</v>
      </c>
      <c r="O142">
        <f>'Player Board'!Q141</f>
        <v>76</v>
      </c>
      <c r="P142">
        <f>IF(NOT(AND('Player Board'!J141="No",'Player Board'!K141="No")),-9999,(325-N142*2)+((IF(M142="QB",INDEX('Manager Profiles'!$T$5:$T$12,MATCH($B$5,'Manager Profiles'!$A$5:$A$12,0)),IF(M142="RB",INDEX('Manager Profiles'!$U$5:$U$12,MATCH($B$5,'Manager Profiles'!$A$5:$A$12,0)),IF(M142="WR",INDEX('Manager Profiles'!$V$5:$V$12,MATCH($B$5,'Manager Profiles'!$A$5:$A$12,0)),IF(M142="TE",INDEX('Manager Profiles'!$W$5:$W$12,MATCH($B$5,'Manager Profiles'!$A$5:$A$12,0)),0)))))*3)+(IF($B$6="Contender",IF('Player Board'!R141="Veteran",12,IF('Player Board'!R141="Prime",7,IF('Player Board'!R141="Young",3,-4))),IF($B$6="Rebuilder",IF('Player Board'!R141="Rookie",15,IF('Player Board'!R141="Young",10,IF('Player Board'!R141="Prime",2,-15))),IF('Player Board'!R141="Veteran",-2,IF('Player Board'!R141="Rookie",4,2)))))+MAX(-20,MIN(20,($B$4-IF(O142="",N142,O142))*2))+(IFERROR(IF(INDEX('Player Board'!$F$4:$F$163,MATCH(N142+1,'Player Board'!$H$4:$H$163,0))&gt;'Player Board'!F141,8,0),0)))</f>
        <v>54</v>
      </c>
      <c r="Q142">
        <f t="shared" si="45"/>
        <v>54.0062</v>
      </c>
      <c r="R142">
        <f>IF(AND('Draft Tracker'!D141="Noah",'Draft Tracker'!A141&gt;$B$4),'Draft Tracker'!A141,9999)</f>
        <v>9999</v>
      </c>
      <c r="S142">
        <f>IF(M142="","",IF(M142="QB",INDEX('Manager Profiles'!$T$5:$T$12,MATCH("Noah",'Manager Profiles'!$A$5:$A$12,0)),IF(M142="RB",INDEX('Manager Profiles'!$U$5:$U$12,MATCH("Noah",'Manager Profiles'!$A$5:$A$12,0)),IF(M142="WR",INDEX('Manager Profiles'!$V$5:$V$12,MATCH("Noah",'Manager Profiles'!$A$5:$A$12,0)),IF(M142="TE",INDEX('Manager Profiles'!$W$5:$W$12,MATCH("Noah",'Manager Profiles'!$A$5:$A$12,0)),0)))))</f>
        <v>4</v>
      </c>
      <c r="T142">
        <f>IF(M142="","",IF(M142="QB",INDEX('Manager Profiles'!$T$5:$T$12,MATCH($B$5,'Manager Profiles'!$A$5:$A$12,0)),IF(M142="RB",INDEX('Manager Profiles'!$U$5:$U$12,MATCH($B$5,'Manager Profiles'!$A$5:$A$12,0)),IF(M142="WR",INDEX('Manager Profiles'!$V$5:$V$12,MATCH($B$5,'Manager Profiles'!$A$5:$A$12,0)),IF(M142="TE",INDEX('Manager Profiles'!$W$5:$W$12,MATCH($B$5,'Manager Profiles'!$A$5:$A$12,0)),0)))))</f>
        <v>9</v>
      </c>
      <c r="U142">
        <f t="shared" si="46"/>
        <v>-5</v>
      </c>
      <c r="V142">
        <f t="shared" si="47"/>
        <v>0</v>
      </c>
      <c r="W142">
        <f t="shared" ca="1" si="48"/>
        <v>-9999</v>
      </c>
      <c r="X142">
        <f ca="1">IF(M142="","",IFERROR(_xludf.MINIFS($N$5:$N$164,$M$5:$M$164,M142,$N$5:$N$164,"&gt;"&amp;N142,$P$5:$P$164,"&gt;-9999"),N142+20))</f>
        <v>158</v>
      </c>
      <c r="Y142">
        <f t="shared" ca="1" si="49"/>
        <v>20</v>
      </c>
      <c r="Z142">
        <f t="shared" si="50"/>
        <v>-75</v>
      </c>
      <c r="AA142" t="str">
        <f t="shared" si="51"/>
        <v>No</v>
      </c>
      <c r="AB142" t="str">
        <f t="shared" ca="1" si="52"/>
        <v>Yes</v>
      </c>
      <c r="AC142" t="str">
        <f t="shared" si="53"/>
        <v>No</v>
      </c>
      <c r="AD142" t="str">
        <f t="shared" ca="1" si="54"/>
        <v>No</v>
      </c>
    </row>
    <row r="143" spans="12:30">
      <c r="L143" t="str">
        <f>'Player Board'!B142</f>
        <v>J.K. Dobbins</v>
      </c>
      <c r="M143" t="str">
        <f>'Player Board'!C142</f>
        <v>RB</v>
      </c>
      <c r="N143">
        <f>'Player Board'!H142</f>
        <v>139</v>
      </c>
      <c r="O143">
        <f>'Player Board'!Q142</f>
        <v>77</v>
      </c>
      <c r="P143">
        <f>IF(NOT(AND('Player Board'!J142="No",'Player Board'!K142="No")),-9999,(325-N143*2)+((IF(M143="QB",INDEX('Manager Profiles'!$T$5:$T$12,MATCH($B$5,'Manager Profiles'!$A$5:$A$12,0)),IF(M143="RB",INDEX('Manager Profiles'!$U$5:$U$12,MATCH($B$5,'Manager Profiles'!$A$5:$A$12,0)),IF(M143="WR",INDEX('Manager Profiles'!$V$5:$V$12,MATCH($B$5,'Manager Profiles'!$A$5:$A$12,0)),IF(M143="TE",INDEX('Manager Profiles'!$W$5:$W$12,MATCH($B$5,'Manager Profiles'!$A$5:$A$12,0)),0)))))*3)+(IF($B$6="Contender",IF('Player Board'!R142="Veteran",12,IF('Player Board'!R142="Prime",7,IF('Player Board'!R142="Young",3,-4))),IF($B$6="Rebuilder",IF('Player Board'!R142="Rookie",15,IF('Player Board'!R142="Young",10,IF('Player Board'!R142="Prime",2,-15))),IF('Player Board'!R142="Veteran",-2,IF('Player Board'!R142="Rookie",4,2)))))+MAX(-20,MIN(20,($B$4-IF(O143="",N143,O143))*2))+(IFERROR(IF(INDEX('Player Board'!$F$4:$F$163,MATCH(N143+1,'Player Board'!$H$4:$H$163,0))&gt;'Player Board'!F142,8,0),0)))</f>
        <v>52</v>
      </c>
      <c r="Q143">
        <f t="shared" si="45"/>
        <v>52.006100000000004</v>
      </c>
      <c r="R143">
        <f>IF(AND('Draft Tracker'!D142="Noah",'Draft Tracker'!A142&gt;$B$4),'Draft Tracker'!A142,9999)</f>
        <v>9999</v>
      </c>
      <c r="S143">
        <f>IF(M143="","",IF(M143="QB",INDEX('Manager Profiles'!$T$5:$T$12,MATCH("Noah",'Manager Profiles'!$A$5:$A$12,0)),IF(M143="RB",INDEX('Manager Profiles'!$U$5:$U$12,MATCH("Noah",'Manager Profiles'!$A$5:$A$12,0)),IF(M143="WR",INDEX('Manager Profiles'!$V$5:$V$12,MATCH("Noah",'Manager Profiles'!$A$5:$A$12,0)),IF(M143="TE",INDEX('Manager Profiles'!$W$5:$W$12,MATCH("Noah",'Manager Profiles'!$A$5:$A$12,0)),0)))))</f>
        <v>4</v>
      </c>
      <c r="T143">
        <f>IF(M143="","",IF(M143="QB",INDEX('Manager Profiles'!$T$5:$T$12,MATCH($B$5,'Manager Profiles'!$A$5:$A$12,0)),IF(M143="RB",INDEX('Manager Profiles'!$U$5:$U$12,MATCH($B$5,'Manager Profiles'!$A$5:$A$12,0)),IF(M143="WR",INDEX('Manager Profiles'!$V$5:$V$12,MATCH($B$5,'Manager Profiles'!$A$5:$A$12,0)),IF(M143="TE",INDEX('Manager Profiles'!$W$5:$W$12,MATCH($B$5,'Manager Profiles'!$A$5:$A$12,0)),0)))))</f>
        <v>9</v>
      </c>
      <c r="U143">
        <f t="shared" si="46"/>
        <v>-5</v>
      </c>
      <c r="V143">
        <f t="shared" si="47"/>
        <v>0</v>
      </c>
      <c r="W143">
        <f t="shared" ca="1" si="48"/>
        <v>-9999</v>
      </c>
      <c r="X143">
        <f ca="1">IF(M143="","",IFERROR(_xludf.MINIFS($N$5:$N$164,$M$5:$M$164,M143,$N$5:$N$164,"&gt;"&amp;N143,$P$5:$P$164,"&gt;-9999"),N143+20))</f>
        <v>159</v>
      </c>
      <c r="Y143">
        <f t="shared" ca="1" si="49"/>
        <v>20</v>
      </c>
      <c r="Z143">
        <f t="shared" si="50"/>
        <v>-76</v>
      </c>
      <c r="AA143" t="str">
        <f t="shared" si="51"/>
        <v>No</v>
      </c>
      <c r="AB143" t="str">
        <f t="shared" ca="1" si="52"/>
        <v>Yes</v>
      </c>
      <c r="AC143" t="str">
        <f t="shared" si="53"/>
        <v>No</v>
      </c>
      <c r="AD143" t="str">
        <f t="shared" ca="1" si="54"/>
        <v>No</v>
      </c>
    </row>
    <row r="144" spans="12:30">
      <c r="L144" t="str">
        <f>'Player Board'!B143</f>
        <v>Jacory Croskey-Merritt</v>
      </c>
      <c r="M144" t="str">
        <f>'Player Board'!C143</f>
        <v>RB</v>
      </c>
      <c r="N144">
        <f>'Player Board'!H143</f>
        <v>140</v>
      </c>
      <c r="O144">
        <f>'Player Board'!Q143</f>
        <v>78</v>
      </c>
      <c r="P144">
        <f>IF(NOT(AND('Player Board'!J143="No",'Player Board'!K143="No")),-9999,(325-N144*2)+((IF(M144="QB",INDEX('Manager Profiles'!$T$5:$T$12,MATCH($B$5,'Manager Profiles'!$A$5:$A$12,0)),IF(M144="RB",INDEX('Manager Profiles'!$U$5:$U$12,MATCH($B$5,'Manager Profiles'!$A$5:$A$12,0)),IF(M144="WR",INDEX('Manager Profiles'!$V$5:$V$12,MATCH($B$5,'Manager Profiles'!$A$5:$A$12,0)),IF(M144="TE",INDEX('Manager Profiles'!$W$5:$W$12,MATCH($B$5,'Manager Profiles'!$A$5:$A$12,0)),0)))))*3)+(IF($B$6="Contender",IF('Player Board'!R143="Veteran",12,IF('Player Board'!R143="Prime",7,IF('Player Board'!R143="Young",3,-4))),IF($B$6="Rebuilder",IF('Player Board'!R143="Rookie",15,IF('Player Board'!R143="Young",10,IF('Player Board'!R143="Prime",2,-15))),IF('Player Board'!R143="Veteran",-2,IF('Player Board'!R143="Rookie",4,2)))))+MAX(-20,MIN(20,($B$4-IF(O144="",N144,O144))*2))+(IFERROR(IF(INDEX('Player Board'!$F$4:$F$163,MATCH(N144+1,'Player Board'!$H$4:$H$163,0))&gt;'Player Board'!F143,8,0),0)))</f>
        <v>62</v>
      </c>
      <c r="Q144">
        <f t="shared" si="45"/>
        <v>62.006</v>
      </c>
      <c r="R144">
        <f>IF(AND('Draft Tracker'!D143="Noah",'Draft Tracker'!A143&gt;$B$4),'Draft Tracker'!A143,9999)</f>
        <v>9999</v>
      </c>
      <c r="S144">
        <f>IF(M144="","",IF(M144="QB",INDEX('Manager Profiles'!$T$5:$T$12,MATCH("Noah",'Manager Profiles'!$A$5:$A$12,0)),IF(M144="RB",INDEX('Manager Profiles'!$U$5:$U$12,MATCH("Noah",'Manager Profiles'!$A$5:$A$12,0)),IF(M144="WR",INDEX('Manager Profiles'!$V$5:$V$12,MATCH("Noah",'Manager Profiles'!$A$5:$A$12,0)),IF(M144="TE",INDEX('Manager Profiles'!$W$5:$W$12,MATCH("Noah",'Manager Profiles'!$A$5:$A$12,0)),0)))))</f>
        <v>4</v>
      </c>
      <c r="T144">
        <f>IF(M144="","",IF(M144="QB",INDEX('Manager Profiles'!$T$5:$T$12,MATCH($B$5,'Manager Profiles'!$A$5:$A$12,0)),IF(M144="RB",INDEX('Manager Profiles'!$U$5:$U$12,MATCH($B$5,'Manager Profiles'!$A$5:$A$12,0)),IF(M144="WR",INDEX('Manager Profiles'!$V$5:$V$12,MATCH($B$5,'Manager Profiles'!$A$5:$A$12,0)),IF(M144="TE",INDEX('Manager Profiles'!$W$5:$W$12,MATCH($B$5,'Manager Profiles'!$A$5:$A$12,0)),0)))))</f>
        <v>9</v>
      </c>
      <c r="U144">
        <f t="shared" si="46"/>
        <v>-5</v>
      </c>
      <c r="V144">
        <f t="shared" si="47"/>
        <v>0</v>
      </c>
      <c r="W144">
        <f t="shared" ca="1" si="48"/>
        <v>-9999</v>
      </c>
      <c r="X144">
        <f ca="1">IF(M144="","",IFERROR(_xludf.MINIFS($N$5:$N$164,$M$5:$M$164,M144,$N$5:$N$164,"&gt;"&amp;N144,$P$5:$P$164,"&gt;-9999"),N144+20))</f>
        <v>160</v>
      </c>
      <c r="Y144">
        <f t="shared" ca="1" si="49"/>
        <v>20</v>
      </c>
      <c r="Z144">
        <f t="shared" si="50"/>
        <v>-77</v>
      </c>
      <c r="AA144" t="str">
        <f t="shared" si="51"/>
        <v>No</v>
      </c>
      <c r="AB144" t="str">
        <f t="shared" ca="1" si="52"/>
        <v>Yes</v>
      </c>
      <c r="AC144" t="str">
        <f t="shared" si="53"/>
        <v>No</v>
      </c>
      <c r="AD144" t="str">
        <f t="shared" ca="1" si="54"/>
        <v>No</v>
      </c>
    </row>
    <row r="145" spans="12:30">
      <c r="L145" t="str">
        <f>'Player Board'!B144</f>
        <v>Chris Bell</v>
      </c>
      <c r="M145" t="str">
        <f>'Player Board'!C144</f>
        <v>WR</v>
      </c>
      <c r="N145">
        <f>'Player Board'!H144</f>
        <v>141</v>
      </c>
      <c r="O145">
        <f>'Player Board'!Q144</f>
        <v>79</v>
      </c>
      <c r="P145">
        <f>IF(NOT(AND('Player Board'!J144="No",'Player Board'!K144="No")),-9999,(325-N145*2)+((IF(M145="QB",INDEX('Manager Profiles'!$T$5:$T$12,MATCH($B$5,'Manager Profiles'!$A$5:$A$12,0)),IF(M145="RB",INDEX('Manager Profiles'!$U$5:$U$12,MATCH($B$5,'Manager Profiles'!$A$5:$A$12,0)),IF(M145="WR",INDEX('Manager Profiles'!$V$5:$V$12,MATCH($B$5,'Manager Profiles'!$A$5:$A$12,0)),IF(M145="TE",INDEX('Manager Profiles'!$W$5:$W$12,MATCH($B$5,'Manager Profiles'!$A$5:$A$12,0)),0)))))*3)+(IF($B$6="Contender",IF('Player Board'!R144="Veteran",12,IF('Player Board'!R144="Prime",7,IF('Player Board'!R144="Young",3,-4))),IF($B$6="Rebuilder",IF('Player Board'!R144="Rookie",15,IF('Player Board'!R144="Young",10,IF('Player Board'!R144="Prime",2,-15))),IF('Player Board'!R144="Veteran",-2,IF('Player Board'!R144="Rookie",4,2)))))+MAX(-20,MIN(20,($B$4-IF(O145="",N145,O145))*2))+(IFERROR(IF(INDEX('Player Board'!$F$4:$F$163,MATCH(N145+1,'Player Board'!$H$4:$H$163,0))&gt;'Player Board'!F144,8,0),0)))</f>
        <v>36</v>
      </c>
      <c r="Q145">
        <f t="shared" si="45"/>
        <v>36.005899999999997</v>
      </c>
      <c r="R145">
        <f>IF(AND('Draft Tracker'!D144="Noah",'Draft Tracker'!A144&gt;$B$4),'Draft Tracker'!A144,9999)</f>
        <v>9999</v>
      </c>
      <c r="S145">
        <f>IF(M145="","",IF(M145="QB",INDEX('Manager Profiles'!$T$5:$T$12,MATCH("Noah",'Manager Profiles'!$A$5:$A$12,0)),IF(M145="RB",INDEX('Manager Profiles'!$U$5:$U$12,MATCH("Noah",'Manager Profiles'!$A$5:$A$12,0)),IF(M145="WR",INDEX('Manager Profiles'!$V$5:$V$12,MATCH("Noah",'Manager Profiles'!$A$5:$A$12,0)),IF(M145="TE",INDEX('Manager Profiles'!$W$5:$W$12,MATCH("Noah",'Manager Profiles'!$A$5:$A$12,0)),0)))))</f>
        <v>1</v>
      </c>
      <c r="T145">
        <f>IF(M145="","",IF(M145="QB",INDEX('Manager Profiles'!$T$5:$T$12,MATCH($B$5,'Manager Profiles'!$A$5:$A$12,0)),IF(M145="RB",INDEX('Manager Profiles'!$U$5:$U$12,MATCH($B$5,'Manager Profiles'!$A$5:$A$12,0)),IF(M145="WR",INDEX('Manager Profiles'!$V$5:$V$12,MATCH($B$5,'Manager Profiles'!$A$5:$A$12,0)),IF(M145="TE",INDEX('Manager Profiles'!$W$5:$W$12,MATCH($B$5,'Manager Profiles'!$A$5:$A$12,0)),0)))))</f>
        <v>3</v>
      </c>
      <c r="U145">
        <f t="shared" si="46"/>
        <v>-2</v>
      </c>
      <c r="V145">
        <f t="shared" si="47"/>
        <v>0</v>
      </c>
      <c r="W145">
        <f t="shared" ca="1" si="48"/>
        <v>-9999</v>
      </c>
      <c r="X145">
        <f ca="1">IF(M145="","",IFERROR(_xludf.MINIFS($N$5:$N$164,$M$5:$M$164,M145,$N$5:$N$164,"&gt;"&amp;N145,$P$5:$P$164,"&gt;-9999"),N145+20))</f>
        <v>161</v>
      </c>
      <c r="Y145">
        <f t="shared" ca="1" si="49"/>
        <v>20</v>
      </c>
      <c r="Z145">
        <f t="shared" si="50"/>
        <v>-78</v>
      </c>
      <c r="AA145" t="str">
        <f t="shared" si="51"/>
        <v>No</v>
      </c>
      <c r="AB145" t="str">
        <f t="shared" ca="1" si="52"/>
        <v>Yes</v>
      </c>
      <c r="AC145" t="str">
        <f t="shared" si="53"/>
        <v>No</v>
      </c>
      <c r="AD145" t="str">
        <f t="shared" ca="1" si="54"/>
        <v>No</v>
      </c>
    </row>
    <row r="146" spans="12:30">
      <c r="L146" t="str">
        <f>'Player Board'!B145</f>
        <v>Kenneth Gainwell</v>
      </c>
      <c r="M146" t="str">
        <f>'Player Board'!C145</f>
        <v>RB</v>
      </c>
      <c r="N146">
        <f>'Player Board'!H145</f>
        <v>142</v>
      </c>
      <c r="O146">
        <f>'Player Board'!Q145</f>
        <v>80</v>
      </c>
      <c r="P146">
        <f>IF(NOT(AND('Player Board'!J145="No",'Player Board'!K145="No")),-9999,(325-N146*2)+((IF(M146="QB",INDEX('Manager Profiles'!$T$5:$T$12,MATCH($B$5,'Manager Profiles'!$A$5:$A$12,0)),IF(M146="RB",INDEX('Manager Profiles'!$U$5:$U$12,MATCH($B$5,'Manager Profiles'!$A$5:$A$12,0)),IF(M146="WR",INDEX('Manager Profiles'!$V$5:$V$12,MATCH($B$5,'Manager Profiles'!$A$5:$A$12,0)),IF(M146="TE",INDEX('Manager Profiles'!$W$5:$W$12,MATCH($B$5,'Manager Profiles'!$A$5:$A$12,0)),0)))))*3)+(IF($B$6="Contender",IF('Player Board'!R145="Veteran",12,IF('Player Board'!R145="Prime",7,IF('Player Board'!R145="Young",3,-4))),IF($B$6="Rebuilder",IF('Player Board'!R145="Rookie",15,IF('Player Board'!R145="Young",10,IF('Player Board'!R145="Prime",2,-15))),IF('Player Board'!R145="Veteran",-2,IF('Player Board'!R145="Rookie",4,2)))))+MAX(-20,MIN(20,($B$4-IF(O146="",N146,O146))*2))+(IFERROR(IF(INDEX('Player Board'!$F$4:$F$163,MATCH(N146+1,'Player Board'!$H$4:$H$163,0))&gt;'Player Board'!F145,8,0),0)))</f>
        <v>50</v>
      </c>
      <c r="Q146">
        <f t="shared" si="45"/>
        <v>50.005800000000001</v>
      </c>
      <c r="R146">
        <f>IF(AND('Draft Tracker'!D145="Noah",'Draft Tracker'!A145&gt;$B$4),'Draft Tracker'!A145,9999)</f>
        <v>9999</v>
      </c>
      <c r="S146">
        <f>IF(M146="","",IF(M146="QB",INDEX('Manager Profiles'!$T$5:$T$12,MATCH("Noah",'Manager Profiles'!$A$5:$A$12,0)),IF(M146="RB",INDEX('Manager Profiles'!$U$5:$U$12,MATCH("Noah",'Manager Profiles'!$A$5:$A$12,0)),IF(M146="WR",INDEX('Manager Profiles'!$V$5:$V$12,MATCH("Noah",'Manager Profiles'!$A$5:$A$12,0)),IF(M146="TE",INDEX('Manager Profiles'!$W$5:$W$12,MATCH("Noah",'Manager Profiles'!$A$5:$A$12,0)),0)))))</f>
        <v>4</v>
      </c>
      <c r="T146">
        <f>IF(M146="","",IF(M146="QB",INDEX('Manager Profiles'!$T$5:$T$12,MATCH($B$5,'Manager Profiles'!$A$5:$A$12,0)),IF(M146="RB",INDEX('Manager Profiles'!$U$5:$U$12,MATCH($B$5,'Manager Profiles'!$A$5:$A$12,0)),IF(M146="WR",INDEX('Manager Profiles'!$V$5:$V$12,MATCH($B$5,'Manager Profiles'!$A$5:$A$12,0)),IF(M146="TE",INDEX('Manager Profiles'!$W$5:$W$12,MATCH($B$5,'Manager Profiles'!$A$5:$A$12,0)),0)))))</f>
        <v>9</v>
      </c>
      <c r="U146">
        <f t="shared" si="46"/>
        <v>-5</v>
      </c>
      <c r="V146">
        <f t="shared" si="47"/>
        <v>0</v>
      </c>
      <c r="W146">
        <f t="shared" ca="1" si="48"/>
        <v>-9999</v>
      </c>
      <c r="X146">
        <f ca="1">IF(M146="","",IFERROR(_xludf.MINIFS($N$5:$N$164,$M$5:$M$164,M146,$N$5:$N$164,"&gt;"&amp;N146,$P$5:$P$164,"&gt;-9999"),N146+20))</f>
        <v>162</v>
      </c>
      <c r="Y146">
        <f t="shared" ca="1" si="49"/>
        <v>20</v>
      </c>
      <c r="Z146">
        <f t="shared" si="50"/>
        <v>-79</v>
      </c>
      <c r="AA146" t="str">
        <f t="shared" si="51"/>
        <v>No</v>
      </c>
      <c r="AB146" t="str">
        <f t="shared" ca="1" si="52"/>
        <v>Yes</v>
      </c>
      <c r="AC146" t="str">
        <f t="shared" si="53"/>
        <v>No</v>
      </c>
      <c r="AD146" t="str">
        <f t="shared" ca="1" si="54"/>
        <v>No</v>
      </c>
    </row>
    <row r="147" spans="12:30">
      <c r="L147" t="str">
        <f>'Player Board'!B146</f>
        <v>Aaron Jones</v>
      </c>
      <c r="M147" t="str">
        <f>'Player Board'!C146</f>
        <v>RB</v>
      </c>
      <c r="N147">
        <f>'Player Board'!H146</f>
        <v>143</v>
      </c>
      <c r="O147">
        <f>'Player Board'!Q146</f>
        <v>81</v>
      </c>
      <c r="P147">
        <f>IF(NOT(AND('Player Board'!J146="No",'Player Board'!K146="No")),-9999,(325-N147*2)+((IF(M147="QB",INDEX('Manager Profiles'!$T$5:$T$12,MATCH($B$5,'Manager Profiles'!$A$5:$A$12,0)),IF(M147="RB",INDEX('Manager Profiles'!$U$5:$U$12,MATCH($B$5,'Manager Profiles'!$A$5:$A$12,0)),IF(M147="WR",INDEX('Manager Profiles'!$V$5:$V$12,MATCH($B$5,'Manager Profiles'!$A$5:$A$12,0)),IF(M147="TE",INDEX('Manager Profiles'!$W$5:$W$12,MATCH($B$5,'Manager Profiles'!$A$5:$A$12,0)),0)))))*3)+(IF($B$6="Contender",IF('Player Board'!R146="Veteran",12,IF('Player Board'!R146="Prime",7,IF('Player Board'!R146="Young",3,-4))),IF($B$6="Rebuilder",IF('Player Board'!R146="Rookie",15,IF('Player Board'!R146="Young",10,IF('Player Board'!R146="Prime",2,-15))),IF('Player Board'!R146="Veteran",-2,IF('Player Board'!R146="Rookie",4,2)))))+MAX(-20,MIN(20,($B$4-IF(O147="",N147,O147))*2))+(IFERROR(IF(INDEX('Player Board'!$F$4:$F$163,MATCH(N147+1,'Player Board'!$H$4:$H$163,0))&gt;'Player Board'!F146,8,0),0)))</f>
        <v>44</v>
      </c>
      <c r="Q147">
        <f t="shared" si="45"/>
        <v>44.005699999999997</v>
      </c>
      <c r="R147">
        <f>IF(AND('Draft Tracker'!D146="Noah",'Draft Tracker'!A146&gt;$B$4),'Draft Tracker'!A146,9999)</f>
        <v>9999</v>
      </c>
      <c r="S147">
        <f>IF(M147="","",IF(M147="QB",INDEX('Manager Profiles'!$T$5:$T$12,MATCH("Noah",'Manager Profiles'!$A$5:$A$12,0)),IF(M147="RB",INDEX('Manager Profiles'!$U$5:$U$12,MATCH("Noah",'Manager Profiles'!$A$5:$A$12,0)),IF(M147="WR",INDEX('Manager Profiles'!$V$5:$V$12,MATCH("Noah",'Manager Profiles'!$A$5:$A$12,0)),IF(M147="TE",INDEX('Manager Profiles'!$W$5:$W$12,MATCH("Noah",'Manager Profiles'!$A$5:$A$12,0)),0)))))</f>
        <v>4</v>
      </c>
      <c r="T147">
        <f>IF(M147="","",IF(M147="QB",INDEX('Manager Profiles'!$T$5:$T$12,MATCH($B$5,'Manager Profiles'!$A$5:$A$12,0)),IF(M147="RB",INDEX('Manager Profiles'!$U$5:$U$12,MATCH($B$5,'Manager Profiles'!$A$5:$A$12,0)),IF(M147="WR",INDEX('Manager Profiles'!$V$5:$V$12,MATCH($B$5,'Manager Profiles'!$A$5:$A$12,0)),IF(M147="TE",INDEX('Manager Profiles'!$W$5:$W$12,MATCH($B$5,'Manager Profiles'!$A$5:$A$12,0)),0)))))</f>
        <v>9</v>
      </c>
      <c r="U147">
        <f t="shared" si="46"/>
        <v>-5</v>
      </c>
      <c r="V147">
        <f t="shared" si="47"/>
        <v>0</v>
      </c>
      <c r="W147">
        <f t="shared" ca="1" si="48"/>
        <v>-9999</v>
      </c>
      <c r="X147">
        <f ca="1">IF(M147="","",IFERROR(_xludf.MINIFS($N$5:$N$164,$M$5:$M$164,M147,$N$5:$N$164,"&gt;"&amp;N147,$P$5:$P$164,"&gt;-9999"),N147+20))</f>
        <v>163</v>
      </c>
      <c r="Y147">
        <f t="shared" ca="1" si="49"/>
        <v>20</v>
      </c>
      <c r="Z147">
        <f t="shared" si="50"/>
        <v>-80</v>
      </c>
      <c r="AA147" t="str">
        <f t="shared" si="51"/>
        <v>No</v>
      </c>
      <c r="AB147" t="str">
        <f t="shared" ca="1" si="52"/>
        <v>Yes</v>
      </c>
      <c r="AC147" t="str">
        <f t="shared" si="53"/>
        <v>No</v>
      </c>
      <c r="AD147" t="str">
        <f t="shared" ca="1" si="54"/>
        <v>No</v>
      </c>
    </row>
    <row r="148" spans="12:30">
      <c r="L148" t="str">
        <f>'Player Board'!B147</f>
        <v>Jalen McMillan</v>
      </c>
      <c r="M148" t="str">
        <f>'Player Board'!C147</f>
        <v>WR</v>
      </c>
      <c r="N148">
        <f>'Player Board'!H147</f>
        <v>144</v>
      </c>
      <c r="O148">
        <f>'Player Board'!Q147</f>
        <v>82</v>
      </c>
      <c r="P148">
        <f>IF(NOT(AND('Player Board'!J147="No",'Player Board'!K147="No")),-9999,(325-N148*2)+((IF(M148="QB",INDEX('Manager Profiles'!$T$5:$T$12,MATCH($B$5,'Manager Profiles'!$A$5:$A$12,0)),IF(M148="RB",INDEX('Manager Profiles'!$U$5:$U$12,MATCH($B$5,'Manager Profiles'!$A$5:$A$12,0)),IF(M148="WR",INDEX('Manager Profiles'!$V$5:$V$12,MATCH($B$5,'Manager Profiles'!$A$5:$A$12,0)),IF(M148="TE",INDEX('Manager Profiles'!$W$5:$W$12,MATCH($B$5,'Manager Profiles'!$A$5:$A$12,0)),0)))))*3)+(IF($B$6="Contender",IF('Player Board'!R147="Veteran",12,IF('Player Board'!R147="Prime",7,IF('Player Board'!R147="Young",3,-4))),IF($B$6="Rebuilder",IF('Player Board'!R147="Rookie",15,IF('Player Board'!R147="Young",10,IF('Player Board'!R147="Prime",2,-15))),IF('Player Board'!R147="Veteran",-2,IF('Player Board'!R147="Rookie",4,2)))))+MAX(-20,MIN(20,($B$4-IF(O148="",N148,O148))*2))+(IFERROR(IF(INDEX('Player Board'!$F$4:$F$163,MATCH(N148+1,'Player Board'!$H$4:$H$163,0))&gt;'Player Board'!F147,8,0),0)))</f>
        <v>28</v>
      </c>
      <c r="Q148">
        <f t="shared" si="45"/>
        <v>28.005600000000001</v>
      </c>
      <c r="R148">
        <f>IF(AND('Draft Tracker'!D147="Noah",'Draft Tracker'!A147&gt;$B$4),'Draft Tracker'!A147,9999)</f>
        <v>9999</v>
      </c>
      <c r="S148">
        <f>IF(M148="","",IF(M148="QB",INDEX('Manager Profiles'!$T$5:$T$12,MATCH("Noah",'Manager Profiles'!$A$5:$A$12,0)),IF(M148="RB",INDEX('Manager Profiles'!$U$5:$U$12,MATCH("Noah",'Manager Profiles'!$A$5:$A$12,0)),IF(M148="WR",INDEX('Manager Profiles'!$V$5:$V$12,MATCH("Noah",'Manager Profiles'!$A$5:$A$12,0)),IF(M148="TE",INDEX('Manager Profiles'!$W$5:$W$12,MATCH("Noah",'Manager Profiles'!$A$5:$A$12,0)),0)))))</f>
        <v>1</v>
      </c>
      <c r="T148">
        <f>IF(M148="","",IF(M148="QB",INDEX('Manager Profiles'!$T$5:$T$12,MATCH($B$5,'Manager Profiles'!$A$5:$A$12,0)),IF(M148="RB",INDEX('Manager Profiles'!$U$5:$U$12,MATCH($B$5,'Manager Profiles'!$A$5:$A$12,0)),IF(M148="WR",INDEX('Manager Profiles'!$V$5:$V$12,MATCH($B$5,'Manager Profiles'!$A$5:$A$12,0)),IF(M148="TE",INDEX('Manager Profiles'!$W$5:$W$12,MATCH($B$5,'Manager Profiles'!$A$5:$A$12,0)),0)))))</f>
        <v>3</v>
      </c>
      <c r="U148">
        <f t="shared" si="46"/>
        <v>-2</v>
      </c>
      <c r="V148">
        <f t="shared" si="47"/>
        <v>0</v>
      </c>
      <c r="W148">
        <f t="shared" ca="1" si="48"/>
        <v>-9999</v>
      </c>
      <c r="X148">
        <f ca="1">IF(M148="","",IFERROR(_xludf.MINIFS($N$5:$N$164,$M$5:$M$164,M148,$N$5:$N$164,"&gt;"&amp;N148,$P$5:$P$164,"&gt;-9999"),N148+20))</f>
        <v>164</v>
      </c>
      <c r="Y148">
        <f t="shared" ca="1" si="49"/>
        <v>20</v>
      </c>
      <c r="Z148">
        <f t="shared" si="50"/>
        <v>-81</v>
      </c>
      <c r="AA148" t="str">
        <f t="shared" si="51"/>
        <v>No</v>
      </c>
      <c r="AB148" t="str">
        <f t="shared" ca="1" si="52"/>
        <v>Yes</v>
      </c>
      <c r="AC148" t="str">
        <f t="shared" si="53"/>
        <v>No</v>
      </c>
      <c r="AD148" t="str">
        <f t="shared" ca="1" si="54"/>
        <v>No</v>
      </c>
    </row>
    <row r="149" spans="12:30">
      <c r="L149" t="str">
        <f>'Player Board'!B148</f>
        <v>Evan Engram</v>
      </c>
      <c r="M149" t="str">
        <f>'Player Board'!C148</f>
        <v>TE</v>
      </c>
      <c r="N149">
        <f>'Player Board'!H148</f>
        <v>145</v>
      </c>
      <c r="O149">
        <f>'Player Board'!Q148</f>
        <v>83</v>
      </c>
      <c r="P149">
        <f>IF(NOT(AND('Player Board'!J148="No",'Player Board'!K148="No")),-9999,(325-N149*2)+((IF(M149="QB",INDEX('Manager Profiles'!$T$5:$T$12,MATCH($B$5,'Manager Profiles'!$A$5:$A$12,0)),IF(M149="RB",INDEX('Manager Profiles'!$U$5:$U$12,MATCH($B$5,'Manager Profiles'!$A$5:$A$12,0)),IF(M149="WR",INDEX('Manager Profiles'!$V$5:$V$12,MATCH($B$5,'Manager Profiles'!$A$5:$A$12,0)),IF(M149="TE",INDEX('Manager Profiles'!$W$5:$W$12,MATCH($B$5,'Manager Profiles'!$A$5:$A$12,0)),0)))))*3)+(IF($B$6="Contender",IF('Player Board'!R148="Veteran",12,IF('Player Board'!R148="Prime",7,IF('Player Board'!R148="Young",3,-4))),IF($B$6="Rebuilder",IF('Player Board'!R148="Rookie",15,IF('Player Board'!R148="Young",10,IF('Player Board'!R148="Prime",2,-15))),IF('Player Board'!R148="Veteran",-2,IF('Player Board'!R148="Rookie",4,2)))))+MAX(-20,MIN(20,($B$4-IF(O149="",N149,O149))*2))+(IFERROR(IF(INDEX('Player Board'!$F$4:$F$163,MATCH(N149+1,'Player Board'!$H$4:$H$163,0))&gt;'Player Board'!F148,8,0),0)))</f>
        <v>22</v>
      </c>
      <c r="Q149">
        <f t="shared" si="45"/>
        <v>22.005500000000001</v>
      </c>
      <c r="S149">
        <f>IF(M149="","",IF(M149="QB",INDEX('Manager Profiles'!$T$5:$T$12,MATCH("Noah",'Manager Profiles'!$A$5:$A$12,0)),IF(M149="RB",INDEX('Manager Profiles'!$U$5:$U$12,MATCH("Noah",'Manager Profiles'!$A$5:$A$12,0)),IF(M149="WR",INDEX('Manager Profiles'!$V$5:$V$12,MATCH("Noah",'Manager Profiles'!$A$5:$A$12,0)),IF(M149="TE",INDEX('Manager Profiles'!$W$5:$W$12,MATCH("Noah",'Manager Profiles'!$A$5:$A$12,0)),0)))))</f>
        <v>7</v>
      </c>
      <c r="T149">
        <f>IF(M149="","",IF(M149="QB",INDEX('Manager Profiles'!$T$5:$T$12,MATCH($B$5,'Manager Profiles'!$A$5:$A$12,0)),IF(M149="RB",INDEX('Manager Profiles'!$U$5:$U$12,MATCH($B$5,'Manager Profiles'!$A$5:$A$12,0)),IF(M149="WR",INDEX('Manager Profiles'!$V$5:$V$12,MATCH($B$5,'Manager Profiles'!$A$5:$A$12,0)),IF(M149="TE",INDEX('Manager Profiles'!$W$5:$W$12,MATCH($B$5,'Manager Profiles'!$A$5:$A$12,0)),0)))))</f>
        <v>3</v>
      </c>
      <c r="U149">
        <f t="shared" si="46"/>
        <v>4</v>
      </c>
      <c r="V149">
        <f t="shared" si="47"/>
        <v>0</v>
      </c>
      <c r="W149">
        <f t="shared" ca="1" si="48"/>
        <v>-9999</v>
      </c>
      <c r="X149">
        <f ca="1">IF(M149="","",IFERROR(_xludf.MINIFS($N$5:$N$164,$M$5:$M$164,M149,$N$5:$N$164,"&gt;"&amp;N149,$P$5:$P$164,"&gt;-9999"),N149+20))</f>
        <v>165</v>
      </c>
      <c r="Y149">
        <f t="shared" ca="1" si="49"/>
        <v>20</v>
      </c>
      <c r="Z149">
        <f t="shared" si="50"/>
        <v>-82</v>
      </c>
      <c r="AA149" t="str">
        <f t="shared" si="51"/>
        <v>No</v>
      </c>
      <c r="AB149" t="str">
        <f t="shared" ca="1" si="52"/>
        <v>Yes</v>
      </c>
      <c r="AC149" t="str">
        <f t="shared" si="53"/>
        <v>No</v>
      </c>
      <c r="AD149" t="str">
        <f t="shared" ca="1" si="54"/>
        <v>No</v>
      </c>
    </row>
    <row r="150" spans="12:30">
      <c r="L150" t="str">
        <f>'Player Board'!B149</f>
        <v>Deebo Samuel</v>
      </c>
      <c r="M150" t="str">
        <f>'Player Board'!C149</f>
        <v>WR</v>
      </c>
      <c r="N150">
        <f>'Player Board'!H149</f>
        <v>146</v>
      </c>
      <c r="O150">
        <f>'Player Board'!Q149</f>
        <v>84</v>
      </c>
      <c r="P150">
        <f>IF(NOT(AND('Player Board'!J149="No",'Player Board'!K149="No")),-9999,(325-N150*2)+((IF(M150="QB",INDEX('Manager Profiles'!$T$5:$T$12,MATCH($B$5,'Manager Profiles'!$A$5:$A$12,0)),IF(M150="RB",INDEX('Manager Profiles'!$U$5:$U$12,MATCH($B$5,'Manager Profiles'!$A$5:$A$12,0)),IF(M150="WR",INDEX('Manager Profiles'!$V$5:$V$12,MATCH($B$5,'Manager Profiles'!$A$5:$A$12,0)),IF(M150="TE",INDEX('Manager Profiles'!$W$5:$W$12,MATCH($B$5,'Manager Profiles'!$A$5:$A$12,0)),0)))))*3)+(IF($B$6="Contender",IF('Player Board'!R149="Veteran",12,IF('Player Board'!R149="Prime",7,IF('Player Board'!R149="Young",3,-4))),IF($B$6="Rebuilder",IF('Player Board'!R149="Rookie",15,IF('Player Board'!R149="Young",10,IF('Player Board'!R149="Prime",2,-15))),IF('Player Board'!R149="Veteran",-2,IF('Player Board'!R149="Rookie",4,2)))))+MAX(-20,MIN(20,($B$4-IF(O150="",N150,O150))*2))+(IFERROR(IF(INDEX('Player Board'!$F$4:$F$163,MATCH(N150+1,'Player Board'!$H$4:$H$163,0))&gt;'Player Board'!F149,8,0),0)))</f>
        <v>20</v>
      </c>
      <c r="Q150">
        <f t="shared" si="45"/>
        <v>20.005400000000002</v>
      </c>
      <c r="S150">
        <f>IF(M150="","",IF(M150="QB",INDEX('Manager Profiles'!$T$5:$T$12,MATCH("Noah",'Manager Profiles'!$A$5:$A$12,0)),IF(M150="RB",INDEX('Manager Profiles'!$U$5:$U$12,MATCH("Noah",'Manager Profiles'!$A$5:$A$12,0)),IF(M150="WR",INDEX('Manager Profiles'!$V$5:$V$12,MATCH("Noah",'Manager Profiles'!$A$5:$A$12,0)),IF(M150="TE",INDEX('Manager Profiles'!$W$5:$W$12,MATCH("Noah",'Manager Profiles'!$A$5:$A$12,0)),0)))))</f>
        <v>1</v>
      </c>
      <c r="T150">
        <f>IF(M150="","",IF(M150="QB",INDEX('Manager Profiles'!$T$5:$T$12,MATCH($B$5,'Manager Profiles'!$A$5:$A$12,0)),IF(M150="RB",INDEX('Manager Profiles'!$U$5:$U$12,MATCH($B$5,'Manager Profiles'!$A$5:$A$12,0)),IF(M150="WR",INDEX('Manager Profiles'!$V$5:$V$12,MATCH($B$5,'Manager Profiles'!$A$5:$A$12,0)),IF(M150="TE",INDEX('Manager Profiles'!$W$5:$W$12,MATCH($B$5,'Manager Profiles'!$A$5:$A$12,0)),0)))))</f>
        <v>3</v>
      </c>
      <c r="U150">
        <f t="shared" si="46"/>
        <v>-2</v>
      </c>
      <c r="V150">
        <f t="shared" si="47"/>
        <v>0</v>
      </c>
      <c r="W150">
        <f t="shared" ca="1" si="48"/>
        <v>-9999</v>
      </c>
      <c r="X150">
        <f ca="1">IF(M150="","",IFERROR(_xludf.MINIFS($N$5:$N$164,$M$5:$M$164,M150,$N$5:$N$164,"&gt;"&amp;N150,$P$5:$P$164,"&gt;-9999"),N150+20))</f>
        <v>166</v>
      </c>
      <c r="Y150">
        <f t="shared" ca="1" si="49"/>
        <v>20</v>
      </c>
      <c r="Z150">
        <f t="shared" si="50"/>
        <v>-83</v>
      </c>
      <c r="AA150" t="str">
        <f t="shared" si="51"/>
        <v>No</v>
      </c>
      <c r="AB150" t="str">
        <f t="shared" ca="1" si="52"/>
        <v>Yes</v>
      </c>
      <c r="AC150" t="str">
        <f t="shared" si="53"/>
        <v>No</v>
      </c>
      <c r="AD150" t="str">
        <f t="shared" ca="1" si="54"/>
        <v>No</v>
      </c>
    </row>
    <row r="151" spans="12:30">
      <c r="L151" t="str">
        <f>'Player Board'!B150</f>
        <v>Tyjae Spears</v>
      </c>
      <c r="M151" t="str">
        <f>'Player Board'!C150</f>
        <v>RB</v>
      </c>
      <c r="N151">
        <f>'Player Board'!H150</f>
        <v>147</v>
      </c>
      <c r="O151">
        <f>'Player Board'!Q150</f>
        <v>85</v>
      </c>
      <c r="P151">
        <f>IF(NOT(AND('Player Board'!J150="No",'Player Board'!K150="No")),-9999,(325-N151*2)+((IF(M151="QB",INDEX('Manager Profiles'!$T$5:$T$12,MATCH($B$5,'Manager Profiles'!$A$5:$A$12,0)),IF(M151="RB",INDEX('Manager Profiles'!$U$5:$U$12,MATCH($B$5,'Manager Profiles'!$A$5:$A$12,0)),IF(M151="WR",INDEX('Manager Profiles'!$V$5:$V$12,MATCH($B$5,'Manager Profiles'!$A$5:$A$12,0)),IF(M151="TE",INDEX('Manager Profiles'!$W$5:$W$12,MATCH($B$5,'Manager Profiles'!$A$5:$A$12,0)),0)))))*3)+(IF($B$6="Contender",IF('Player Board'!R150="Veteran",12,IF('Player Board'!R150="Prime",7,IF('Player Board'!R150="Young",3,-4))),IF($B$6="Rebuilder",IF('Player Board'!R150="Rookie",15,IF('Player Board'!R150="Young",10,IF('Player Board'!R150="Prime",2,-15))),IF('Player Board'!R150="Veteran",-2,IF('Player Board'!R150="Rookie",4,2)))))+MAX(-20,MIN(20,($B$4-IF(O151="",N151,O151))*2))+(IFERROR(IF(INDEX('Player Board'!$F$4:$F$163,MATCH(N151+1,'Player Board'!$H$4:$H$163,0))&gt;'Player Board'!F150,8,0),0)))</f>
        <v>40</v>
      </c>
      <c r="Q151">
        <f t="shared" si="45"/>
        <v>40.005299999999998</v>
      </c>
      <c r="S151">
        <f>IF(M151="","",IF(M151="QB",INDEX('Manager Profiles'!$T$5:$T$12,MATCH("Noah",'Manager Profiles'!$A$5:$A$12,0)),IF(M151="RB",INDEX('Manager Profiles'!$U$5:$U$12,MATCH("Noah",'Manager Profiles'!$A$5:$A$12,0)),IF(M151="WR",INDEX('Manager Profiles'!$V$5:$V$12,MATCH("Noah",'Manager Profiles'!$A$5:$A$12,0)),IF(M151="TE",INDEX('Manager Profiles'!$W$5:$W$12,MATCH("Noah",'Manager Profiles'!$A$5:$A$12,0)),0)))))</f>
        <v>4</v>
      </c>
      <c r="T151">
        <f>IF(M151="","",IF(M151="QB",INDEX('Manager Profiles'!$T$5:$T$12,MATCH($B$5,'Manager Profiles'!$A$5:$A$12,0)),IF(M151="RB",INDEX('Manager Profiles'!$U$5:$U$12,MATCH($B$5,'Manager Profiles'!$A$5:$A$12,0)),IF(M151="WR",INDEX('Manager Profiles'!$V$5:$V$12,MATCH($B$5,'Manager Profiles'!$A$5:$A$12,0)),IF(M151="TE",INDEX('Manager Profiles'!$W$5:$W$12,MATCH($B$5,'Manager Profiles'!$A$5:$A$12,0)),0)))))</f>
        <v>9</v>
      </c>
      <c r="U151">
        <f t="shared" si="46"/>
        <v>-5</v>
      </c>
      <c r="V151">
        <f t="shared" si="47"/>
        <v>0</v>
      </c>
      <c r="W151">
        <f t="shared" ca="1" si="48"/>
        <v>-9999</v>
      </c>
      <c r="X151">
        <f ca="1">IF(M151="","",IFERROR(_xludf.MINIFS($N$5:$N$164,$M$5:$M$164,M151,$N$5:$N$164,"&gt;"&amp;N151,$P$5:$P$164,"&gt;-9999"),N151+20))</f>
        <v>167</v>
      </c>
      <c r="Y151">
        <f t="shared" ca="1" si="49"/>
        <v>20</v>
      </c>
      <c r="Z151">
        <f t="shared" si="50"/>
        <v>-84</v>
      </c>
      <c r="AA151" t="str">
        <f t="shared" si="51"/>
        <v>No</v>
      </c>
      <c r="AB151" t="str">
        <f t="shared" ca="1" si="52"/>
        <v>Yes</v>
      </c>
      <c r="AC151" t="str">
        <f t="shared" si="53"/>
        <v>No</v>
      </c>
      <c r="AD151" t="str">
        <f t="shared" ca="1" si="54"/>
        <v>No</v>
      </c>
    </row>
    <row r="152" spans="12:30">
      <c r="L152" t="str">
        <f>'Player Board'!B151</f>
        <v>Rashid Shaheed</v>
      </c>
      <c r="M152" t="str">
        <f>'Player Board'!C151</f>
        <v>WR</v>
      </c>
      <c r="N152">
        <f>'Player Board'!H151</f>
        <v>148</v>
      </c>
      <c r="O152">
        <f>'Player Board'!Q151</f>
        <v>86</v>
      </c>
      <c r="P152">
        <f>IF(NOT(AND('Player Board'!J151="No",'Player Board'!K151="No")),-9999,(325-N152*2)+((IF(M152="QB",INDEX('Manager Profiles'!$T$5:$T$12,MATCH($B$5,'Manager Profiles'!$A$5:$A$12,0)),IF(M152="RB",INDEX('Manager Profiles'!$U$5:$U$12,MATCH($B$5,'Manager Profiles'!$A$5:$A$12,0)),IF(M152="WR",INDEX('Manager Profiles'!$V$5:$V$12,MATCH($B$5,'Manager Profiles'!$A$5:$A$12,0)),IF(M152="TE",INDEX('Manager Profiles'!$W$5:$W$12,MATCH($B$5,'Manager Profiles'!$A$5:$A$12,0)),0)))))*3)+(IF($B$6="Contender",IF('Player Board'!R151="Veteran",12,IF('Player Board'!R151="Prime",7,IF('Player Board'!R151="Young",3,-4))),IF($B$6="Rebuilder",IF('Player Board'!R151="Rookie",15,IF('Player Board'!R151="Young",10,IF('Player Board'!R151="Prime",2,-15))),IF('Player Board'!R151="Veteran",-2,IF('Player Board'!R151="Rookie",4,2)))))+MAX(-20,MIN(20,($B$4-IF(O152="",N152,O152))*2))+(IFERROR(IF(INDEX('Player Board'!$F$4:$F$163,MATCH(N152+1,'Player Board'!$H$4:$H$163,0))&gt;'Player Board'!F151,8,0),0)))</f>
        <v>20</v>
      </c>
      <c r="Q152">
        <f t="shared" si="45"/>
        <v>20.005199999999999</v>
      </c>
      <c r="S152">
        <f>IF(M152="","",IF(M152="QB",INDEX('Manager Profiles'!$T$5:$T$12,MATCH("Noah",'Manager Profiles'!$A$5:$A$12,0)),IF(M152="RB",INDEX('Manager Profiles'!$U$5:$U$12,MATCH("Noah",'Manager Profiles'!$A$5:$A$12,0)),IF(M152="WR",INDEX('Manager Profiles'!$V$5:$V$12,MATCH("Noah",'Manager Profiles'!$A$5:$A$12,0)),IF(M152="TE",INDEX('Manager Profiles'!$W$5:$W$12,MATCH("Noah",'Manager Profiles'!$A$5:$A$12,0)),0)))))</f>
        <v>1</v>
      </c>
      <c r="T152">
        <f>IF(M152="","",IF(M152="QB",INDEX('Manager Profiles'!$T$5:$T$12,MATCH($B$5,'Manager Profiles'!$A$5:$A$12,0)),IF(M152="RB",INDEX('Manager Profiles'!$U$5:$U$12,MATCH($B$5,'Manager Profiles'!$A$5:$A$12,0)),IF(M152="WR",INDEX('Manager Profiles'!$V$5:$V$12,MATCH($B$5,'Manager Profiles'!$A$5:$A$12,0)),IF(M152="TE",INDEX('Manager Profiles'!$W$5:$W$12,MATCH($B$5,'Manager Profiles'!$A$5:$A$12,0)),0)))))</f>
        <v>3</v>
      </c>
      <c r="U152">
        <f t="shared" si="46"/>
        <v>-2</v>
      </c>
      <c r="V152">
        <f t="shared" si="47"/>
        <v>0</v>
      </c>
      <c r="W152">
        <f t="shared" ca="1" si="48"/>
        <v>-9999</v>
      </c>
      <c r="X152">
        <f ca="1">IF(M152="","",IFERROR(_xludf.MINIFS($N$5:$N$164,$M$5:$M$164,M152,$N$5:$N$164,"&gt;"&amp;N152,$P$5:$P$164,"&gt;-9999"),N152+20))</f>
        <v>168</v>
      </c>
      <c r="Y152">
        <f t="shared" ca="1" si="49"/>
        <v>20</v>
      </c>
      <c r="Z152">
        <f t="shared" si="50"/>
        <v>-85</v>
      </c>
      <c r="AA152" t="str">
        <f t="shared" si="51"/>
        <v>No</v>
      </c>
      <c r="AB152" t="str">
        <f t="shared" ca="1" si="52"/>
        <v>Yes</v>
      </c>
      <c r="AC152" t="str">
        <f t="shared" si="53"/>
        <v>No</v>
      </c>
      <c r="AD152" t="str">
        <f t="shared" ca="1" si="54"/>
        <v>No</v>
      </c>
    </row>
    <row r="153" spans="12:30">
      <c r="L153" t="str">
        <f>'Player Board'!B152</f>
        <v>Najee Harris</v>
      </c>
      <c r="M153" t="str">
        <f>'Player Board'!C152</f>
        <v>RB</v>
      </c>
      <c r="N153">
        <f>'Player Board'!H152</f>
        <v>149</v>
      </c>
      <c r="O153">
        <f>'Player Board'!Q152</f>
        <v>87</v>
      </c>
      <c r="P153">
        <f>IF(NOT(AND('Player Board'!J152="No",'Player Board'!K152="No")),-9999,(325-N153*2)+((IF(M153="QB",INDEX('Manager Profiles'!$T$5:$T$12,MATCH($B$5,'Manager Profiles'!$A$5:$A$12,0)),IF(M153="RB",INDEX('Manager Profiles'!$U$5:$U$12,MATCH($B$5,'Manager Profiles'!$A$5:$A$12,0)),IF(M153="WR",INDEX('Manager Profiles'!$V$5:$V$12,MATCH($B$5,'Manager Profiles'!$A$5:$A$12,0)),IF(M153="TE",INDEX('Manager Profiles'!$W$5:$W$12,MATCH($B$5,'Manager Profiles'!$A$5:$A$12,0)),0)))))*3)+(IF($B$6="Contender",IF('Player Board'!R152="Veteran",12,IF('Player Board'!R152="Prime",7,IF('Player Board'!R152="Young",3,-4))),IF($B$6="Rebuilder",IF('Player Board'!R152="Rookie",15,IF('Player Board'!R152="Young",10,IF('Player Board'!R152="Prime",2,-15))),IF('Player Board'!R152="Veteran",-2,IF('Player Board'!R152="Rookie",4,2)))))+MAX(-20,MIN(20,($B$4-IF(O153="",N153,O153))*2))+(IFERROR(IF(INDEX('Player Board'!$F$4:$F$163,MATCH(N153+1,'Player Board'!$H$4:$H$163,0))&gt;'Player Board'!F152,8,0),0)))</f>
        <v>32</v>
      </c>
      <c r="Q153">
        <f t="shared" si="45"/>
        <v>32.005099999999999</v>
      </c>
      <c r="S153">
        <f>IF(M153="","",IF(M153="QB",INDEX('Manager Profiles'!$T$5:$T$12,MATCH("Noah",'Manager Profiles'!$A$5:$A$12,0)),IF(M153="RB",INDEX('Manager Profiles'!$U$5:$U$12,MATCH("Noah",'Manager Profiles'!$A$5:$A$12,0)),IF(M153="WR",INDEX('Manager Profiles'!$V$5:$V$12,MATCH("Noah",'Manager Profiles'!$A$5:$A$12,0)),IF(M153="TE",INDEX('Manager Profiles'!$W$5:$W$12,MATCH("Noah",'Manager Profiles'!$A$5:$A$12,0)),0)))))</f>
        <v>4</v>
      </c>
      <c r="T153">
        <f>IF(M153="","",IF(M153="QB",INDEX('Manager Profiles'!$T$5:$T$12,MATCH($B$5,'Manager Profiles'!$A$5:$A$12,0)),IF(M153="RB",INDEX('Manager Profiles'!$U$5:$U$12,MATCH($B$5,'Manager Profiles'!$A$5:$A$12,0)),IF(M153="WR",INDEX('Manager Profiles'!$V$5:$V$12,MATCH($B$5,'Manager Profiles'!$A$5:$A$12,0)),IF(M153="TE",INDEX('Manager Profiles'!$W$5:$W$12,MATCH($B$5,'Manager Profiles'!$A$5:$A$12,0)),0)))))</f>
        <v>9</v>
      </c>
      <c r="U153">
        <f t="shared" si="46"/>
        <v>-5</v>
      </c>
      <c r="V153">
        <f t="shared" si="47"/>
        <v>0</v>
      </c>
      <c r="W153">
        <f t="shared" ca="1" si="48"/>
        <v>-9999</v>
      </c>
      <c r="X153">
        <f ca="1">IF(M153="","",IFERROR(_xludf.MINIFS($N$5:$N$164,$M$5:$M$164,M153,$N$5:$N$164,"&gt;"&amp;N153,$P$5:$P$164,"&gt;-9999"),N153+20))</f>
        <v>169</v>
      </c>
      <c r="Y153">
        <f t="shared" ca="1" si="49"/>
        <v>20</v>
      </c>
      <c r="Z153">
        <f t="shared" si="50"/>
        <v>-86</v>
      </c>
      <c r="AA153" t="str">
        <f t="shared" si="51"/>
        <v>No</v>
      </c>
      <c r="AB153" t="str">
        <f t="shared" ca="1" si="52"/>
        <v>Yes</v>
      </c>
      <c r="AC153" t="str">
        <f t="shared" si="53"/>
        <v>No</v>
      </c>
      <c r="AD153" t="str">
        <f t="shared" ca="1" si="54"/>
        <v>No</v>
      </c>
    </row>
    <row r="154" spans="12:30">
      <c r="L154" t="str">
        <f>'Player Board'!B153</f>
        <v>Jaydon Blue</v>
      </c>
      <c r="M154" t="str">
        <f>'Player Board'!C153</f>
        <v>RB</v>
      </c>
      <c r="N154">
        <f>'Player Board'!H153</f>
        <v>150</v>
      </c>
      <c r="O154">
        <f>'Player Board'!Q153</f>
        <v>88</v>
      </c>
      <c r="P154">
        <f>IF(NOT(AND('Player Board'!J153="No",'Player Board'!K153="No")),-9999,(325-N154*2)+((IF(M154="QB",INDEX('Manager Profiles'!$T$5:$T$12,MATCH($B$5,'Manager Profiles'!$A$5:$A$12,0)),IF(M154="RB",INDEX('Manager Profiles'!$U$5:$U$12,MATCH($B$5,'Manager Profiles'!$A$5:$A$12,0)),IF(M154="WR",INDEX('Manager Profiles'!$V$5:$V$12,MATCH($B$5,'Manager Profiles'!$A$5:$A$12,0)),IF(M154="TE",INDEX('Manager Profiles'!$W$5:$W$12,MATCH($B$5,'Manager Profiles'!$A$5:$A$12,0)),0)))))*3)+(IF($B$6="Contender",IF('Player Board'!R153="Veteran",12,IF('Player Board'!R153="Prime",7,IF('Player Board'!R153="Young",3,-4))),IF($B$6="Rebuilder",IF('Player Board'!R153="Rookie",15,IF('Player Board'!R153="Young",10,IF('Player Board'!R153="Prime",2,-15))),IF('Player Board'!R153="Veteran",-2,IF('Player Board'!R153="Rookie",4,2)))))+MAX(-20,MIN(20,($B$4-IF(O154="",N154,O154))*2))+(IFERROR(IF(INDEX('Player Board'!$F$4:$F$163,MATCH(N154+1,'Player Board'!$H$4:$H$163,0))&gt;'Player Board'!F153,8,0),0)))</f>
        <v>34</v>
      </c>
      <c r="Q154">
        <f t="shared" si="45"/>
        <v>34.005000000000003</v>
      </c>
      <c r="S154">
        <f>IF(M154="","",IF(M154="QB",INDEX('Manager Profiles'!$T$5:$T$12,MATCH("Noah",'Manager Profiles'!$A$5:$A$12,0)),IF(M154="RB",INDEX('Manager Profiles'!$U$5:$U$12,MATCH("Noah",'Manager Profiles'!$A$5:$A$12,0)),IF(M154="WR",INDEX('Manager Profiles'!$V$5:$V$12,MATCH("Noah",'Manager Profiles'!$A$5:$A$12,0)),IF(M154="TE",INDEX('Manager Profiles'!$W$5:$W$12,MATCH("Noah",'Manager Profiles'!$A$5:$A$12,0)),0)))))</f>
        <v>4</v>
      </c>
      <c r="T154">
        <f>IF(M154="","",IF(M154="QB",INDEX('Manager Profiles'!$T$5:$T$12,MATCH($B$5,'Manager Profiles'!$A$5:$A$12,0)),IF(M154="RB",INDEX('Manager Profiles'!$U$5:$U$12,MATCH($B$5,'Manager Profiles'!$A$5:$A$12,0)),IF(M154="WR",INDEX('Manager Profiles'!$V$5:$V$12,MATCH($B$5,'Manager Profiles'!$A$5:$A$12,0)),IF(M154="TE",INDEX('Manager Profiles'!$W$5:$W$12,MATCH($B$5,'Manager Profiles'!$A$5:$A$12,0)),0)))))</f>
        <v>9</v>
      </c>
      <c r="U154">
        <f t="shared" si="46"/>
        <v>-5</v>
      </c>
      <c r="V154">
        <f t="shared" si="47"/>
        <v>0</v>
      </c>
      <c r="W154">
        <f t="shared" ca="1" si="48"/>
        <v>-9999</v>
      </c>
      <c r="X154">
        <f ca="1">IF(M154="","",IFERROR(_xludf.MINIFS($N$5:$N$164,$M$5:$M$164,M154,$N$5:$N$164,"&gt;"&amp;N154,$P$5:$P$164,"&gt;-9999"),N154+20))</f>
        <v>170</v>
      </c>
      <c r="Y154">
        <f t="shared" ca="1" si="49"/>
        <v>20</v>
      </c>
      <c r="Z154">
        <f t="shared" si="50"/>
        <v>-87</v>
      </c>
      <c r="AA154" t="str">
        <f t="shared" si="51"/>
        <v>No</v>
      </c>
      <c r="AB154" t="str">
        <f t="shared" ca="1" si="52"/>
        <v>Yes</v>
      </c>
      <c r="AC154" t="str">
        <f t="shared" si="53"/>
        <v>No</v>
      </c>
      <c r="AD154" t="str">
        <f t="shared" ca="1" si="54"/>
        <v>No</v>
      </c>
    </row>
    <row r="155" spans="12:30">
      <c r="L155" t="str">
        <f>'Player Board'!B154</f>
        <v>Rashod Bateman</v>
      </c>
      <c r="M155" t="str">
        <f>'Player Board'!C154</f>
        <v>WR</v>
      </c>
      <c r="N155">
        <f>'Player Board'!H154</f>
        <v>151</v>
      </c>
      <c r="O155">
        <f>'Player Board'!Q154</f>
        <v>89</v>
      </c>
      <c r="P155">
        <f>IF(NOT(AND('Player Board'!J154="No",'Player Board'!K154="No")),-9999,(325-N155*2)+((IF(M155="QB",INDEX('Manager Profiles'!$T$5:$T$12,MATCH($B$5,'Manager Profiles'!$A$5:$A$12,0)),IF(M155="RB",INDEX('Manager Profiles'!$U$5:$U$12,MATCH($B$5,'Manager Profiles'!$A$5:$A$12,0)),IF(M155="WR",INDEX('Manager Profiles'!$V$5:$V$12,MATCH($B$5,'Manager Profiles'!$A$5:$A$12,0)),IF(M155="TE",INDEX('Manager Profiles'!$W$5:$W$12,MATCH($B$5,'Manager Profiles'!$A$5:$A$12,0)),0)))))*3)+(IF($B$6="Contender",IF('Player Board'!R154="Veteran",12,IF('Player Board'!R154="Prime",7,IF('Player Board'!R154="Young",3,-4))),IF($B$6="Rebuilder",IF('Player Board'!R154="Rookie",15,IF('Player Board'!R154="Young",10,IF('Player Board'!R154="Prime",2,-15))),IF('Player Board'!R154="Veteran",-2,IF('Player Board'!R154="Rookie",4,2)))))+MAX(-20,MIN(20,($B$4-IF(O155="",N155,O155))*2))+(IFERROR(IF(INDEX('Player Board'!$F$4:$F$163,MATCH(N155+1,'Player Board'!$H$4:$H$163,0))&gt;'Player Board'!F154,8,0),0)))</f>
        <v>14</v>
      </c>
      <c r="Q155">
        <f t="shared" si="45"/>
        <v>14.004899999999999</v>
      </c>
      <c r="S155">
        <f>IF(M155="","",IF(M155="QB",INDEX('Manager Profiles'!$T$5:$T$12,MATCH("Noah",'Manager Profiles'!$A$5:$A$12,0)),IF(M155="RB",INDEX('Manager Profiles'!$U$5:$U$12,MATCH("Noah",'Manager Profiles'!$A$5:$A$12,0)),IF(M155="WR",INDEX('Manager Profiles'!$V$5:$V$12,MATCH("Noah",'Manager Profiles'!$A$5:$A$12,0)),IF(M155="TE",INDEX('Manager Profiles'!$W$5:$W$12,MATCH("Noah",'Manager Profiles'!$A$5:$A$12,0)),0)))))</f>
        <v>1</v>
      </c>
      <c r="T155">
        <f>IF(M155="","",IF(M155="QB",INDEX('Manager Profiles'!$T$5:$T$12,MATCH($B$5,'Manager Profiles'!$A$5:$A$12,0)),IF(M155="RB",INDEX('Manager Profiles'!$U$5:$U$12,MATCH($B$5,'Manager Profiles'!$A$5:$A$12,0)),IF(M155="WR",INDEX('Manager Profiles'!$V$5:$V$12,MATCH($B$5,'Manager Profiles'!$A$5:$A$12,0)),IF(M155="TE",INDEX('Manager Profiles'!$W$5:$W$12,MATCH($B$5,'Manager Profiles'!$A$5:$A$12,0)),0)))))</f>
        <v>3</v>
      </c>
      <c r="U155">
        <f t="shared" si="46"/>
        <v>-2</v>
      </c>
      <c r="V155">
        <f t="shared" si="47"/>
        <v>0</v>
      </c>
      <c r="W155">
        <f t="shared" ca="1" si="48"/>
        <v>-9999</v>
      </c>
      <c r="X155">
        <f ca="1">IF(M155="","",IFERROR(_xludf.MINIFS($N$5:$N$164,$M$5:$M$164,M155,$N$5:$N$164,"&gt;"&amp;N155,$P$5:$P$164,"&gt;-9999"),N155+20))</f>
        <v>171</v>
      </c>
      <c r="Y155">
        <f t="shared" ca="1" si="49"/>
        <v>20</v>
      </c>
      <c r="Z155">
        <f t="shared" si="50"/>
        <v>-88</v>
      </c>
      <c r="AA155" t="str">
        <f t="shared" si="51"/>
        <v>No</v>
      </c>
      <c r="AB155" t="str">
        <f t="shared" ca="1" si="52"/>
        <v>Yes</v>
      </c>
      <c r="AC155" t="str">
        <f t="shared" si="53"/>
        <v>No</v>
      </c>
      <c r="AD155" t="str">
        <f t="shared" ca="1" si="54"/>
        <v>No</v>
      </c>
    </row>
    <row r="156" spans="12:30">
      <c r="L156" t="str">
        <f>'Player Board'!B155</f>
        <v>Keon Coleman</v>
      </c>
      <c r="M156" t="str">
        <f>'Player Board'!C155</f>
        <v>WR</v>
      </c>
      <c r="N156">
        <f>'Player Board'!H155</f>
        <v>152</v>
      </c>
      <c r="O156">
        <f>'Player Board'!Q155</f>
        <v>90</v>
      </c>
      <c r="P156">
        <f>IF(NOT(AND('Player Board'!J155="No",'Player Board'!K155="No")),-9999,(325-N156*2)+((IF(M156="QB",INDEX('Manager Profiles'!$T$5:$T$12,MATCH($B$5,'Manager Profiles'!$A$5:$A$12,0)),IF(M156="RB",INDEX('Manager Profiles'!$U$5:$U$12,MATCH($B$5,'Manager Profiles'!$A$5:$A$12,0)),IF(M156="WR",INDEX('Manager Profiles'!$V$5:$V$12,MATCH($B$5,'Manager Profiles'!$A$5:$A$12,0)),IF(M156="TE",INDEX('Manager Profiles'!$W$5:$W$12,MATCH($B$5,'Manager Profiles'!$A$5:$A$12,0)),0)))))*3)+(IF($B$6="Contender",IF('Player Board'!R155="Veteran",12,IF('Player Board'!R155="Prime",7,IF('Player Board'!R155="Young",3,-4))),IF($B$6="Rebuilder",IF('Player Board'!R155="Rookie",15,IF('Player Board'!R155="Young",10,IF('Player Board'!R155="Prime",2,-15))),IF('Player Board'!R155="Veteran",-2,IF('Player Board'!R155="Rookie",4,2)))))+MAX(-20,MIN(20,($B$4-IF(O156="",N156,O156))*2))+(IFERROR(IF(INDEX('Player Board'!$F$4:$F$163,MATCH(N156+1,'Player Board'!$H$4:$H$163,0))&gt;'Player Board'!F155,8,0),0)))</f>
        <v>12</v>
      </c>
      <c r="Q156">
        <f t="shared" si="45"/>
        <v>12.004799999999999</v>
      </c>
      <c r="S156">
        <f>IF(M156="","",IF(M156="QB",INDEX('Manager Profiles'!$T$5:$T$12,MATCH("Noah",'Manager Profiles'!$A$5:$A$12,0)),IF(M156="RB",INDEX('Manager Profiles'!$U$5:$U$12,MATCH("Noah",'Manager Profiles'!$A$5:$A$12,0)),IF(M156="WR",INDEX('Manager Profiles'!$V$5:$V$12,MATCH("Noah",'Manager Profiles'!$A$5:$A$12,0)),IF(M156="TE",INDEX('Manager Profiles'!$W$5:$W$12,MATCH("Noah",'Manager Profiles'!$A$5:$A$12,0)),0)))))</f>
        <v>1</v>
      </c>
      <c r="T156">
        <f>IF(M156="","",IF(M156="QB",INDEX('Manager Profiles'!$T$5:$T$12,MATCH($B$5,'Manager Profiles'!$A$5:$A$12,0)),IF(M156="RB",INDEX('Manager Profiles'!$U$5:$U$12,MATCH($B$5,'Manager Profiles'!$A$5:$A$12,0)),IF(M156="WR",INDEX('Manager Profiles'!$V$5:$V$12,MATCH($B$5,'Manager Profiles'!$A$5:$A$12,0)),IF(M156="TE",INDEX('Manager Profiles'!$W$5:$W$12,MATCH($B$5,'Manager Profiles'!$A$5:$A$12,0)),0)))))</f>
        <v>3</v>
      </c>
      <c r="U156">
        <f t="shared" si="46"/>
        <v>-2</v>
      </c>
      <c r="V156">
        <f t="shared" si="47"/>
        <v>0</v>
      </c>
      <c r="W156">
        <f t="shared" ca="1" si="48"/>
        <v>-9999</v>
      </c>
      <c r="X156">
        <f ca="1">IF(M156="","",IFERROR(_xludf.MINIFS($N$5:$N$164,$M$5:$M$164,M156,$N$5:$N$164,"&gt;"&amp;N156,$P$5:$P$164,"&gt;-9999"),N156+20))</f>
        <v>172</v>
      </c>
      <c r="Y156">
        <f t="shared" ca="1" si="49"/>
        <v>20</v>
      </c>
      <c r="Z156">
        <f t="shared" si="50"/>
        <v>-89</v>
      </c>
      <c r="AA156" t="str">
        <f t="shared" si="51"/>
        <v>No</v>
      </c>
      <c r="AB156" t="str">
        <f t="shared" ca="1" si="52"/>
        <v>Yes</v>
      </c>
      <c r="AC156" t="str">
        <f t="shared" si="53"/>
        <v>No</v>
      </c>
      <c r="AD156" t="str">
        <f t="shared" ca="1" si="54"/>
        <v>No</v>
      </c>
    </row>
    <row r="157" spans="12:30">
      <c r="L157" t="str">
        <f>'Player Board'!B156</f>
        <v>Tank Dell</v>
      </c>
      <c r="M157" t="str">
        <f>'Player Board'!C156</f>
        <v>WR</v>
      </c>
      <c r="N157">
        <f>'Player Board'!H156</f>
        <v>153</v>
      </c>
      <c r="O157">
        <f>'Player Board'!Q156</f>
        <v>91</v>
      </c>
      <c r="P157">
        <f>IF(NOT(AND('Player Board'!J156="No",'Player Board'!K156="No")),-9999,(325-N157*2)+((IF(M157="QB",INDEX('Manager Profiles'!$T$5:$T$12,MATCH($B$5,'Manager Profiles'!$A$5:$A$12,0)),IF(M157="RB",INDEX('Manager Profiles'!$U$5:$U$12,MATCH($B$5,'Manager Profiles'!$A$5:$A$12,0)),IF(M157="WR",INDEX('Manager Profiles'!$V$5:$V$12,MATCH($B$5,'Manager Profiles'!$A$5:$A$12,0)),IF(M157="TE",INDEX('Manager Profiles'!$W$5:$W$12,MATCH($B$5,'Manager Profiles'!$A$5:$A$12,0)),0)))))*3)+(IF($B$6="Contender",IF('Player Board'!R156="Veteran",12,IF('Player Board'!R156="Prime",7,IF('Player Board'!R156="Young",3,-4))),IF($B$6="Rebuilder",IF('Player Board'!R156="Rookie",15,IF('Player Board'!R156="Young",10,IF('Player Board'!R156="Prime",2,-15))),IF('Player Board'!R156="Veteran",-2,IF('Player Board'!R156="Rookie",4,2)))))+MAX(-20,MIN(20,($B$4-IF(O157="",N157,O157))*2))+(IFERROR(IF(INDEX('Player Board'!$F$4:$F$163,MATCH(N157+1,'Player Board'!$H$4:$H$163,0))&gt;'Player Board'!F156,8,0),0)))</f>
        <v>10</v>
      </c>
      <c r="Q157">
        <f t="shared" si="45"/>
        <v>10.0047</v>
      </c>
      <c r="S157">
        <f>IF(M157="","",IF(M157="QB",INDEX('Manager Profiles'!$T$5:$T$12,MATCH("Noah",'Manager Profiles'!$A$5:$A$12,0)),IF(M157="RB",INDEX('Manager Profiles'!$U$5:$U$12,MATCH("Noah",'Manager Profiles'!$A$5:$A$12,0)),IF(M157="WR",INDEX('Manager Profiles'!$V$5:$V$12,MATCH("Noah",'Manager Profiles'!$A$5:$A$12,0)),IF(M157="TE",INDEX('Manager Profiles'!$W$5:$W$12,MATCH("Noah",'Manager Profiles'!$A$5:$A$12,0)),0)))))</f>
        <v>1</v>
      </c>
      <c r="T157">
        <f>IF(M157="","",IF(M157="QB",INDEX('Manager Profiles'!$T$5:$T$12,MATCH($B$5,'Manager Profiles'!$A$5:$A$12,0)),IF(M157="RB",INDEX('Manager Profiles'!$U$5:$U$12,MATCH($B$5,'Manager Profiles'!$A$5:$A$12,0)),IF(M157="WR",INDEX('Manager Profiles'!$V$5:$V$12,MATCH($B$5,'Manager Profiles'!$A$5:$A$12,0)),IF(M157="TE",INDEX('Manager Profiles'!$W$5:$W$12,MATCH($B$5,'Manager Profiles'!$A$5:$A$12,0)),0)))))</f>
        <v>3</v>
      </c>
      <c r="U157">
        <f t="shared" si="46"/>
        <v>-2</v>
      </c>
      <c r="V157">
        <f t="shared" si="47"/>
        <v>0</v>
      </c>
      <c r="W157">
        <f t="shared" ca="1" si="48"/>
        <v>-9999</v>
      </c>
      <c r="X157">
        <f ca="1">IF(M157="","",IFERROR(_xludf.MINIFS($N$5:$N$164,$M$5:$M$164,M157,$N$5:$N$164,"&gt;"&amp;N157,$P$5:$P$164,"&gt;-9999"),N157+20))</f>
        <v>173</v>
      </c>
      <c r="Y157">
        <f t="shared" ca="1" si="49"/>
        <v>20</v>
      </c>
      <c r="Z157">
        <f t="shared" si="50"/>
        <v>-90</v>
      </c>
      <c r="AA157" t="str">
        <f t="shared" si="51"/>
        <v>No</v>
      </c>
      <c r="AB157" t="str">
        <f t="shared" ca="1" si="52"/>
        <v>Yes</v>
      </c>
      <c r="AC157" t="str">
        <f t="shared" si="53"/>
        <v>No</v>
      </c>
      <c r="AD157" t="str">
        <f t="shared" ca="1" si="54"/>
        <v>No</v>
      </c>
    </row>
    <row r="158" spans="12:30">
      <c r="L158" t="str">
        <f>'Player Board'!B157</f>
        <v>Tre Harris</v>
      </c>
      <c r="M158" t="str">
        <f>'Player Board'!C157</f>
        <v>WR</v>
      </c>
      <c r="N158">
        <f>'Player Board'!H157</f>
        <v>154</v>
      </c>
      <c r="O158">
        <f>'Player Board'!Q157</f>
        <v>92</v>
      </c>
      <c r="P158">
        <f>IF(NOT(AND('Player Board'!J157="No",'Player Board'!K157="No")),-9999,(325-N158*2)+((IF(M158="QB",INDEX('Manager Profiles'!$T$5:$T$12,MATCH($B$5,'Manager Profiles'!$A$5:$A$12,0)),IF(M158="RB",INDEX('Manager Profiles'!$U$5:$U$12,MATCH($B$5,'Manager Profiles'!$A$5:$A$12,0)),IF(M158="WR",INDEX('Manager Profiles'!$V$5:$V$12,MATCH($B$5,'Manager Profiles'!$A$5:$A$12,0)),IF(M158="TE",INDEX('Manager Profiles'!$W$5:$W$12,MATCH($B$5,'Manager Profiles'!$A$5:$A$12,0)),0)))))*3)+(IF($B$6="Contender",IF('Player Board'!R157="Veteran",12,IF('Player Board'!R157="Prime",7,IF('Player Board'!R157="Young",3,-4))),IF($B$6="Rebuilder",IF('Player Board'!R157="Rookie",15,IF('Player Board'!R157="Young",10,IF('Player Board'!R157="Prime",2,-15))),IF('Player Board'!R157="Veteran",-2,IF('Player Board'!R157="Rookie",4,2)))))+MAX(-20,MIN(20,($B$4-IF(O158="",N158,O158))*2))+(IFERROR(IF(INDEX('Player Board'!$F$4:$F$163,MATCH(N158+1,'Player Board'!$H$4:$H$163,0))&gt;'Player Board'!F157,8,0),0)))</f>
        <v>8</v>
      </c>
      <c r="Q158">
        <f t="shared" si="45"/>
        <v>8.0045999999999999</v>
      </c>
      <c r="S158">
        <f>IF(M158="","",IF(M158="QB",INDEX('Manager Profiles'!$T$5:$T$12,MATCH("Noah",'Manager Profiles'!$A$5:$A$12,0)),IF(M158="RB",INDEX('Manager Profiles'!$U$5:$U$12,MATCH("Noah",'Manager Profiles'!$A$5:$A$12,0)),IF(M158="WR",INDEX('Manager Profiles'!$V$5:$V$12,MATCH("Noah",'Manager Profiles'!$A$5:$A$12,0)),IF(M158="TE",INDEX('Manager Profiles'!$W$5:$W$12,MATCH("Noah",'Manager Profiles'!$A$5:$A$12,0)),0)))))</f>
        <v>1</v>
      </c>
      <c r="T158">
        <f>IF(M158="","",IF(M158="QB",INDEX('Manager Profiles'!$T$5:$T$12,MATCH($B$5,'Manager Profiles'!$A$5:$A$12,0)),IF(M158="RB",INDEX('Manager Profiles'!$U$5:$U$12,MATCH($B$5,'Manager Profiles'!$A$5:$A$12,0)),IF(M158="WR",INDEX('Manager Profiles'!$V$5:$V$12,MATCH($B$5,'Manager Profiles'!$A$5:$A$12,0)),IF(M158="TE",INDEX('Manager Profiles'!$W$5:$W$12,MATCH($B$5,'Manager Profiles'!$A$5:$A$12,0)),0)))))</f>
        <v>3</v>
      </c>
      <c r="U158">
        <f t="shared" si="46"/>
        <v>-2</v>
      </c>
      <c r="V158">
        <f t="shared" si="47"/>
        <v>0</v>
      </c>
      <c r="W158">
        <f t="shared" ca="1" si="48"/>
        <v>-9999</v>
      </c>
      <c r="X158">
        <f ca="1">IF(M158="","",IFERROR(_xludf.MINIFS($N$5:$N$164,$M$5:$M$164,M158,$N$5:$N$164,"&gt;"&amp;N158,$P$5:$P$164,"&gt;-9999"),N158+20))</f>
        <v>174</v>
      </c>
      <c r="Y158">
        <f t="shared" ca="1" si="49"/>
        <v>20</v>
      </c>
      <c r="Z158">
        <f t="shared" si="50"/>
        <v>-91</v>
      </c>
      <c r="AA158" t="str">
        <f t="shared" si="51"/>
        <v>No</v>
      </c>
      <c r="AB158" t="str">
        <f t="shared" ca="1" si="52"/>
        <v>Yes</v>
      </c>
      <c r="AC158" t="str">
        <f t="shared" si="53"/>
        <v>No</v>
      </c>
      <c r="AD158" t="str">
        <f t="shared" ca="1" si="54"/>
        <v>No</v>
      </c>
    </row>
    <row r="159" spans="12:30">
      <c r="L159" t="str">
        <f>'Player Board'!B158</f>
        <v>Mason Taylor</v>
      </c>
      <c r="M159" t="str">
        <f>'Player Board'!C158</f>
        <v>TE</v>
      </c>
      <c r="N159">
        <f>'Player Board'!H158</f>
        <v>155</v>
      </c>
      <c r="O159">
        <f>'Player Board'!Q158</f>
        <v>93</v>
      </c>
      <c r="P159">
        <f>IF(NOT(AND('Player Board'!J158="No",'Player Board'!K158="No")),-9999,(325-N159*2)+((IF(M159="QB",INDEX('Manager Profiles'!$T$5:$T$12,MATCH($B$5,'Manager Profiles'!$A$5:$A$12,0)),IF(M159="RB",INDEX('Manager Profiles'!$U$5:$U$12,MATCH($B$5,'Manager Profiles'!$A$5:$A$12,0)),IF(M159="WR",INDEX('Manager Profiles'!$V$5:$V$12,MATCH($B$5,'Manager Profiles'!$A$5:$A$12,0)),IF(M159="TE",INDEX('Manager Profiles'!$W$5:$W$12,MATCH($B$5,'Manager Profiles'!$A$5:$A$12,0)),0)))))*3)+(IF($B$6="Contender",IF('Player Board'!R158="Veteran",12,IF('Player Board'!R158="Prime",7,IF('Player Board'!R158="Young",3,-4))),IF($B$6="Rebuilder",IF('Player Board'!R158="Rookie",15,IF('Player Board'!R158="Young",10,IF('Player Board'!R158="Prime",2,-15))),IF('Player Board'!R158="Veteran",-2,IF('Player Board'!R158="Rookie",4,2)))))+MAX(-20,MIN(20,($B$4-IF(O159="",N159,O159))*2))+(IFERROR(IF(INDEX('Player Board'!$F$4:$F$163,MATCH(N159+1,'Player Board'!$H$4:$H$163,0))&gt;'Player Board'!F158,8,0),0)))</f>
        <v>6</v>
      </c>
      <c r="Q159">
        <f t="shared" si="45"/>
        <v>6.0045000000000002</v>
      </c>
      <c r="S159">
        <f>IF(M159="","",IF(M159="QB",INDEX('Manager Profiles'!$T$5:$T$12,MATCH("Noah",'Manager Profiles'!$A$5:$A$12,0)),IF(M159="RB",INDEX('Manager Profiles'!$U$5:$U$12,MATCH("Noah",'Manager Profiles'!$A$5:$A$12,0)),IF(M159="WR",INDEX('Manager Profiles'!$V$5:$V$12,MATCH("Noah",'Manager Profiles'!$A$5:$A$12,0)),IF(M159="TE",INDEX('Manager Profiles'!$W$5:$W$12,MATCH("Noah",'Manager Profiles'!$A$5:$A$12,0)),0)))))</f>
        <v>7</v>
      </c>
      <c r="T159">
        <f>IF(M159="","",IF(M159="QB",INDEX('Manager Profiles'!$T$5:$T$12,MATCH($B$5,'Manager Profiles'!$A$5:$A$12,0)),IF(M159="RB",INDEX('Manager Profiles'!$U$5:$U$12,MATCH($B$5,'Manager Profiles'!$A$5:$A$12,0)),IF(M159="WR",INDEX('Manager Profiles'!$V$5:$V$12,MATCH($B$5,'Manager Profiles'!$A$5:$A$12,0)),IF(M159="TE",INDEX('Manager Profiles'!$W$5:$W$12,MATCH($B$5,'Manager Profiles'!$A$5:$A$12,0)),0)))))</f>
        <v>3</v>
      </c>
      <c r="U159">
        <f t="shared" si="46"/>
        <v>4</v>
      </c>
      <c r="V159">
        <f t="shared" si="47"/>
        <v>0</v>
      </c>
      <c r="W159">
        <f t="shared" ca="1" si="48"/>
        <v>-9999</v>
      </c>
      <c r="X159">
        <f ca="1">IF(M159="","",IFERROR(_xludf.MINIFS($N$5:$N$164,$M$5:$M$164,M159,$N$5:$N$164,"&gt;"&amp;N159,$P$5:$P$164,"&gt;-9999"),N159+20))</f>
        <v>175</v>
      </c>
      <c r="Y159">
        <f t="shared" ca="1" si="49"/>
        <v>20</v>
      </c>
      <c r="Z159">
        <f t="shared" si="50"/>
        <v>-92</v>
      </c>
      <c r="AA159" t="str">
        <f t="shared" si="51"/>
        <v>No</v>
      </c>
      <c r="AB159" t="str">
        <f t="shared" ca="1" si="52"/>
        <v>Yes</v>
      </c>
      <c r="AC159" t="str">
        <f t="shared" si="53"/>
        <v>No</v>
      </c>
      <c r="AD159" t="str">
        <f t="shared" ca="1" si="54"/>
        <v>No</v>
      </c>
    </row>
    <row r="160" spans="12:30">
      <c r="L160" t="str">
        <f>'Player Board'!B159</f>
        <v>MarShawn Lloyd</v>
      </c>
      <c r="M160" t="str">
        <f>'Player Board'!C159</f>
        <v>RB</v>
      </c>
      <c r="N160">
        <f>'Player Board'!H159</f>
        <v>156</v>
      </c>
      <c r="O160">
        <f>'Player Board'!Q159</f>
        <v>94</v>
      </c>
      <c r="P160">
        <f>IF(NOT(AND('Player Board'!J159="No",'Player Board'!K159="No")),-9999,(325-N160*2)+((IF(M160="QB",INDEX('Manager Profiles'!$T$5:$T$12,MATCH($B$5,'Manager Profiles'!$A$5:$A$12,0)),IF(M160="RB",INDEX('Manager Profiles'!$U$5:$U$12,MATCH($B$5,'Manager Profiles'!$A$5:$A$12,0)),IF(M160="WR",INDEX('Manager Profiles'!$V$5:$V$12,MATCH($B$5,'Manager Profiles'!$A$5:$A$12,0)),IF(M160="TE",INDEX('Manager Profiles'!$W$5:$W$12,MATCH($B$5,'Manager Profiles'!$A$5:$A$12,0)),0)))))*3)+(IF($B$6="Contender",IF('Player Board'!R159="Veteran",12,IF('Player Board'!R159="Prime",7,IF('Player Board'!R159="Young",3,-4))),IF($B$6="Rebuilder",IF('Player Board'!R159="Rookie",15,IF('Player Board'!R159="Young",10,IF('Player Board'!R159="Prime",2,-15))),IF('Player Board'!R159="Veteran",-2,IF('Player Board'!R159="Rookie",4,2)))))+MAX(-20,MIN(20,($B$4-IF(O160="",N160,O160))*2))+(IFERROR(IF(INDEX('Player Board'!$F$4:$F$163,MATCH(N160+1,'Player Board'!$H$4:$H$163,0))&gt;'Player Board'!F159,8,0),0)))</f>
        <v>22</v>
      </c>
      <c r="Q160">
        <f t="shared" si="45"/>
        <v>22.0044</v>
      </c>
      <c r="S160">
        <f>IF(M160="","",IF(M160="QB",INDEX('Manager Profiles'!$T$5:$T$12,MATCH("Noah",'Manager Profiles'!$A$5:$A$12,0)),IF(M160="RB",INDEX('Manager Profiles'!$U$5:$U$12,MATCH("Noah",'Manager Profiles'!$A$5:$A$12,0)),IF(M160="WR",INDEX('Manager Profiles'!$V$5:$V$12,MATCH("Noah",'Manager Profiles'!$A$5:$A$12,0)),IF(M160="TE",INDEX('Manager Profiles'!$W$5:$W$12,MATCH("Noah",'Manager Profiles'!$A$5:$A$12,0)),0)))))</f>
        <v>4</v>
      </c>
      <c r="T160">
        <f>IF(M160="","",IF(M160="QB",INDEX('Manager Profiles'!$T$5:$T$12,MATCH($B$5,'Manager Profiles'!$A$5:$A$12,0)),IF(M160="RB",INDEX('Manager Profiles'!$U$5:$U$12,MATCH($B$5,'Manager Profiles'!$A$5:$A$12,0)),IF(M160="WR",INDEX('Manager Profiles'!$V$5:$V$12,MATCH($B$5,'Manager Profiles'!$A$5:$A$12,0)),IF(M160="TE",INDEX('Manager Profiles'!$W$5:$W$12,MATCH($B$5,'Manager Profiles'!$A$5:$A$12,0)),0)))))</f>
        <v>9</v>
      </c>
      <c r="U160">
        <f t="shared" si="46"/>
        <v>-5</v>
      </c>
      <c r="V160">
        <f t="shared" si="47"/>
        <v>0</v>
      </c>
      <c r="W160">
        <f t="shared" ca="1" si="48"/>
        <v>-9999</v>
      </c>
      <c r="X160">
        <f ca="1">IF(M160="","",IFERROR(_xludf.MINIFS($N$5:$N$164,$M$5:$M$164,M160,$N$5:$N$164,"&gt;"&amp;N160,$P$5:$P$164,"&gt;-9999"),N160+20))</f>
        <v>176</v>
      </c>
      <c r="Y160">
        <f t="shared" ca="1" si="49"/>
        <v>20</v>
      </c>
      <c r="Z160">
        <f t="shared" si="50"/>
        <v>-93</v>
      </c>
      <c r="AA160" t="str">
        <f t="shared" si="51"/>
        <v>No</v>
      </c>
      <c r="AB160" t="str">
        <f t="shared" ca="1" si="52"/>
        <v>Yes</v>
      </c>
      <c r="AC160" t="str">
        <f t="shared" si="53"/>
        <v>No</v>
      </c>
      <c r="AD160" t="str">
        <f t="shared" ca="1" si="54"/>
        <v>No</v>
      </c>
    </row>
    <row r="161" spans="12:30">
      <c r="L161" t="str">
        <f>'Player Board'!B160</f>
        <v>Trey Benson</v>
      </c>
      <c r="M161" t="str">
        <f>'Player Board'!C160</f>
        <v>RB</v>
      </c>
      <c r="N161">
        <f>'Player Board'!H160</f>
        <v>157</v>
      </c>
      <c r="O161">
        <f>'Player Board'!Q160</f>
        <v>95</v>
      </c>
      <c r="P161">
        <f>IF(NOT(AND('Player Board'!J160="No",'Player Board'!K160="No")),-9999,(325-N161*2)+((IF(M161="QB",INDEX('Manager Profiles'!$T$5:$T$12,MATCH($B$5,'Manager Profiles'!$A$5:$A$12,0)),IF(M161="RB",INDEX('Manager Profiles'!$U$5:$U$12,MATCH($B$5,'Manager Profiles'!$A$5:$A$12,0)),IF(M161="WR",INDEX('Manager Profiles'!$V$5:$V$12,MATCH($B$5,'Manager Profiles'!$A$5:$A$12,0)),IF(M161="TE",INDEX('Manager Profiles'!$W$5:$W$12,MATCH($B$5,'Manager Profiles'!$A$5:$A$12,0)),0)))))*3)+(IF($B$6="Contender",IF('Player Board'!R160="Veteran",12,IF('Player Board'!R160="Prime",7,IF('Player Board'!R160="Young",3,-4))),IF($B$6="Rebuilder",IF('Player Board'!R160="Rookie",15,IF('Player Board'!R160="Young",10,IF('Player Board'!R160="Prime",2,-15))),IF('Player Board'!R160="Veteran",-2,IF('Player Board'!R160="Rookie",4,2)))))+MAX(-20,MIN(20,($B$4-IF(O161="",N161,O161))*2))+(IFERROR(IF(INDEX('Player Board'!$F$4:$F$163,MATCH(N161+1,'Player Board'!$H$4:$H$163,0))&gt;'Player Board'!F160,8,0),0)))</f>
        <v>20</v>
      </c>
      <c r="Q161">
        <f t="shared" si="45"/>
        <v>20.004300000000001</v>
      </c>
      <c r="S161">
        <f>IF(M161="","",IF(M161="QB",INDEX('Manager Profiles'!$T$5:$T$12,MATCH("Noah",'Manager Profiles'!$A$5:$A$12,0)),IF(M161="RB",INDEX('Manager Profiles'!$U$5:$U$12,MATCH("Noah",'Manager Profiles'!$A$5:$A$12,0)),IF(M161="WR",INDEX('Manager Profiles'!$V$5:$V$12,MATCH("Noah",'Manager Profiles'!$A$5:$A$12,0)),IF(M161="TE",INDEX('Manager Profiles'!$W$5:$W$12,MATCH("Noah",'Manager Profiles'!$A$5:$A$12,0)),0)))))</f>
        <v>4</v>
      </c>
      <c r="T161">
        <f>IF(M161="","",IF(M161="QB",INDEX('Manager Profiles'!$T$5:$T$12,MATCH($B$5,'Manager Profiles'!$A$5:$A$12,0)),IF(M161="RB",INDEX('Manager Profiles'!$U$5:$U$12,MATCH($B$5,'Manager Profiles'!$A$5:$A$12,0)),IF(M161="WR",INDEX('Manager Profiles'!$V$5:$V$12,MATCH($B$5,'Manager Profiles'!$A$5:$A$12,0)),IF(M161="TE",INDEX('Manager Profiles'!$W$5:$W$12,MATCH($B$5,'Manager Profiles'!$A$5:$A$12,0)),0)))))</f>
        <v>9</v>
      </c>
      <c r="U161">
        <f t="shared" si="46"/>
        <v>-5</v>
      </c>
      <c r="V161">
        <f t="shared" si="47"/>
        <v>0</v>
      </c>
      <c r="W161">
        <f t="shared" ca="1" si="48"/>
        <v>-9999</v>
      </c>
      <c r="X161">
        <f ca="1">IF(M161="","",IFERROR(_xludf.MINIFS($N$5:$N$164,$M$5:$M$164,M161,$N$5:$N$164,"&gt;"&amp;N161,$P$5:$P$164,"&gt;-9999"),N161+20))</f>
        <v>177</v>
      </c>
      <c r="Y161">
        <f t="shared" ca="1" si="49"/>
        <v>20</v>
      </c>
      <c r="Z161">
        <f t="shared" si="50"/>
        <v>-94</v>
      </c>
      <c r="AA161" t="str">
        <f t="shared" si="51"/>
        <v>No</v>
      </c>
      <c r="AB161" t="str">
        <f t="shared" ca="1" si="52"/>
        <v>Yes</v>
      </c>
      <c r="AC161" t="str">
        <f t="shared" si="53"/>
        <v>No</v>
      </c>
      <c r="AD161" t="str">
        <f t="shared" ca="1" si="54"/>
        <v>No</v>
      </c>
    </row>
    <row r="162" spans="12:30">
      <c r="L162" t="str">
        <f>'Player Board'!B161</f>
        <v>Kaleb Johnson</v>
      </c>
      <c r="M162" t="str">
        <f>'Player Board'!C161</f>
        <v>RB</v>
      </c>
      <c r="N162">
        <f>'Player Board'!H161</f>
        <v>158</v>
      </c>
      <c r="O162" t="str">
        <f>'Player Board'!Q161</f>
        <v/>
      </c>
      <c r="P162">
        <f>IF(NOT(AND('Player Board'!J161="No",'Player Board'!K161="No")),-9999,(325-N162*2)+((IF(M162="QB",INDEX('Manager Profiles'!$T$5:$T$12,MATCH($B$5,'Manager Profiles'!$A$5:$A$12,0)),IF(M162="RB",INDEX('Manager Profiles'!$U$5:$U$12,MATCH($B$5,'Manager Profiles'!$A$5:$A$12,0)),IF(M162="WR",INDEX('Manager Profiles'!$V$5:$V$12,MATCH($B$5,'Manager Profiles'!$A$5:$A$12,0)),IF(M162="TE",INDEX('Manager Profiles'!$W$5:$W$12,MATCH($B$5,'Manager Profiles'!$A$5:$A$12,0)),0)))))*3)+(IF($B$6="Contender",IF('Player Board'!R161="Veteran",12,IF('Player Board'!R161="Prime",7,IF('Player Board'!R161="Young",3,-4))),IF($B$6="Rebuilder",IF('Player Board'!R161="Rookie",15,IF('Player Board'!R161="Young",10,IF('Player Board'!R161="Prime",2,-15))),IF('Player Board'!R161="Veteran",-2,IF('Player Board'!R161="Rookie",4,2)))))+MAX(-20,MIN(20,($B$4-IF(O162="",N162,O162))*2))+(IFERROR(IF(INDEX('Player Board'!$F$4:$F$163,MATCH(N162+1,'Player Board'!$H$4:$H$163,0))&gt;'Player Board'!F161,8,0),0)))</f>
        <v>-9999</v>
      </c>
      <c r="Q162">
        <f t="shared" si="45"/>
        <v>-9998.9958000000006</v>
      </c>
      <c r="S162">
        <f>IF(M162="","",IF(M162="QB",INDEX('Manager Profiles'!$T$5:$T$12,MATCH("Noah",'Manager Profiles'!$A$5:$A$12,0)),IF(M162="RB",INDEX('Manager Profiles'!$U$5:$U$12,MATCH("Noah",'Manager Profiles'!$A$5:$A$12,0)),IF(M162="WR",INDEX('Manager Profiles'!$V$5:$V$12,MATCH("Noah",'Manager Profiles'!$A$5:$A$12,0)),IF(M162="TE",INDEX('Manager Profiles'!$W$5:$W$12,MATCH("Noah",'Manager Profiles'!$A$5:$A$12,0)),0)))))</f>
        <v>4</v>
      </c>
      <c r="T162">
        <f>IF(M162="","",IF(M162="QB",INDEX('Manager Profiles'!$T$5:$T$12,MATCH($B$5,'Manager Profiles'!$A$5:$A$12,0)),IF(M162="RB",INDEX('Manager Profiles'!$U$5:$U$12,MATCH($B$5,'Manager Profiles'!$A$5:$A$12,0)),IF(M162="WR",INDEX('Manager Profiles'!$V$5:$V$12,MATCH($B$5,'Manager Profiles'!$A$5:$A$12,0)),IF(M162="TE",INDEX('Manager Profiles'!$W$5:$W$12,MATCH($B$5,'Manager Profiles'!$A$5:$A$12,0)),0)))))</f>
        <v>9</v>
      </c>
      <c r="U162">
        <f t="shared" si="46"/>
        <v>-5</v>
      </c>
      <c r="V162" t="str">
        <f t="shared" si="47"/>
        <v/>
      </c>
      <c r="W162">
        <f t="shared" ca="1" si="48"/>
        <v>-9999</v>
      </c>
      <c r="X162">
        <f ca="1">IF(M162="","",IFERROR(_xludf.MINIFS($N$5:$N$164,$M$5:$M$164,M162,$N$5:$N$164,"&gt;"&amp;N162,$P$5:$P$164,"&gt;-9999"),N162+20))</f>
        <v>178</v>
      </c>
      <c r="Y162">
        <f t="shared" ca="1" si="49"/>
        <v>20</v>
      </c>
      <c r="Z162" t="str">
        <f t="shared" si="50"/>
        <v/>
      </c>
      <c r="AA162" t="str">
        <f t="shared" si="51"/>
        <v>Yes</v>
      </c>
      <c r="AB162" t="str">
        <f t="shared" ca="1" si="52"/>
        <v>Yes</v>
      </c>
      <c r="AC162" t="str">
        <f t="shared" si="53"/>
        <v>Yes</v>
      </c>
      <c r="AD162" t="str">
        <f t="shared" ca="1" si="54"/>
        <v>No</v>
      </c>
    </row>
    <row r="163" spans="12:30">
      <c r="L163" t="str">
        <f>'Player Board'!B162</f>
        <v>Pat Bryant</v>
      </c>
      <c r="M163" t="str">
        <f>'Player Board'!C162</f>
        <v>WR</v>
      </c>
      <c r="N163">
        <f>'Player Board'!H162</f>
        <v>159</v>
      </c>
      <c r="O163">
        <f>'Player Board'!Q162</f>
        <v>96</v>
      </c>
      <c r="P163">
        <f>IF(NOT(AND('Player Board'!J162="No",'Player Board'!K162="No")),-9999,(325-N163*2)+((IF(M163="QB",INDEX('Manager Profiles'!$T$5:$T$12,MATCH($B$5,'Manager Profiles'!$A$5:$A$12,0)),IF(M163="RB",INDEX('Manager Profiles'!$U$5:$U$12,MATCH($B$5,'Manager Profiles'!$A$5:$A$12,0)),IF(M163="WR",INDEX('Manager Profiles'!$V$5:$V$12,MATCH($B$5,'Manager Profiles'!$A$5:$A$12,0)),IF(M163="TE",INDEX('Manager Profiles'!$W$5:$W$12,MATCH($B$5,'Manager Profiles'!$A$5:$A$12,0)),0)))))*3)+(IF($B$6="Contender",IF('Player Board'!R162="Veteran",12,IF('Player Board'!R162="Prime",7,IF('Player Board'!R162="Young",3,-4))),IF($B$6="Rebuilder",IF('Player Board'!R162="Rookie",15,IF('Player Board'!R162="Young",10,IF('Player Board'!R162="Prime",2,-15))),IF('Player Board'!R162="Veteran",-2,IF('Player Board'!R162="Rookie",4,2)))))+MAX(-20,MIN(20,($B$4-IF(O163="",N163,O163))*2))+(IFERROR(IF(INDEX('Player Board'!$F$4:$F$163,MATCH(N163+1,'Player Board'!$H$4:$H$163,0))&gt;'Player Board'!F162,8,0),0)))</f>
        <v>-2</v>
      </c>
      <c r="Q163">
        <f t="shared" si="45"/>
        <v>-1.9959</v>
      </c>
      <c r="S163">
        <f>IF(M163="","",IF(M163="QB",INDEX('Manager Profiles'!$T$5:$T$12,MATCH("Noah",'Manager Profiles'!$A$5:$A$12,0)),IF(M163="RB",INDEX('Manager Profiles'!$U$5:$U$12,MATCH("Noah",'Manager Profiles'!$A$5:$A$12,0)),IF(M163="WR",INDEX('Manager Profiles'!$V$5:$V$12,MATCH("Noah",'Manager Profiles'!$A$5:$A$12,0)),IF(M163="TE",INDEX('Manager Profiles'!$W$5:$W$12,MATCH("Noah",'Manager Profiles'!$A$5:$A$12,0)),0)))))</f>
        <v>1</v>
      </c>
      <c r="T163">
        <f>IF(M163="","",IF(M163="QB",INDEX('Manager Profiles'!$T$5:$T$12,MATCH($B$5,'Manager Profiles'!$A$5:$A$12,0)),IF(M163="RB",INDEX('Manager Profiles'!$U$5:$U$12,MATCH($B$5,'Manager Profiles'!$A$5:$A$12,0)),IF(M163="WR",INDEX('Manager Profiles'!$V$5:$V$12,MATCH($B$5,'Manager Profiles'!$A$5:$A$12,0)),IF(M163="TE",INDEX('Manager Profiles'!$W$5:$W$12,MATCH($B$5,'Manager Profiles'!$A$5:$A$12,0)),0)))))</f>
        <v>3</v>
      </c>
      <c r="U163">
        <f t="shared" si="46"/>
        <v>-2</v>
      </c>
      <c r="V163">
        <f t="shared" si="47"/>
        <v>0</v>
      </c>
      <c r="W163">
        <f t="shared" ca="1" si="48"/>
        <v>-9999</v>
      </c>
      <c r="X163">
        <f ca="1">IF(M163="","",IFERROR(_xludf.MINIFS($N$5:$N$164,$M$5:$M$164,M163,$N$5:$N$164,"&gt;"&amp;N163,$P$5:$P$164,"&gt;-9999"),N163+20))</f>
        <v>179</v>
      </c>
      <c r="Y163">
        <f t="shared" ca="1" si="49"/>
        <v>20</v>
      </c>
      <c r="Z163">
        <f t="shared" si="50"/>
        <v>-95</v>
      </c>
      <c r="AA163" t="str">
        <f t="shared" si="51"/>
        <v>No</v>
      </c>
      <c r="AB163" t="str">
        <f t="shared" ca="1" si="52"/>
        <v>Yes</v>
      </c>
      <c r="AC163" t="str">
        <f t="shared" si="53"/>
        <v>No</v>
      </c>
      <c r="AD163" t="str">
        <f t="shared" ca="1" si="54"/>
        <v>No</v>
      </c>
    </row>
    <row r="164" spans="12:30">
      <c r="L164" t="str">
        <f>'Player Board'!B163</f>
        <v>Jalen Royals</v>
      </c>
      <c r="M164" t="str">
        <f>'Player Board'!C163</f>
        <v>WR</v>
      </c>
      <c r="N164">
        <f>'Player Board'!H163</f>
        <v>160</v>
      </c>
      <c r="O164">
        <f>'Player Board'!Q163</f>
        <v>97</v>
      </c>
      <c r="P164">
        <f>IF(NOT(AND('Player Board'!J163="No",'Player Board'!K163="No")),-9999,(325-N164*2)+((IF(M164="QB",INDEX('Manager Profiles'!$T$5:$T$12,MATCH($B$5,'Manager Profiles'!$A$5:$A$12,0)),IF(M164="RB",INDEX('Manager Profiles'!$U$5:$U$12,MATCH($B$5,'Manager Profiles'!$A$5:$A$12,0)),IF(M164="WR",INDEX('Manager Profiles'!$V$5:$V$12,MATCH($B$5,'Manager Profiles'!$A$5:$A$12,0)),IF(M164="TE",INDEX('Manager Profiles'!$W$5:$W$12,MATCH($B$5,'Manager Profiles'!$A$5:$A$12,0)),0)))))*3)+(IF($B$6="Contender",IF('Player Board'!R163="Veteran",12,IF('Player Board'!R163="Prime",7,IF('Player Board'!R163="Young",3,-4))),IF($B$6="Rebuilder",IF('Player Board'!R163="Rookie",15,IF('Player Board'!R163="Young",10,IF('Player Board'!R163="Prime",2,-15))),IF('Player Board'!R163="Veteran",-2,IF('Player Board'!R163="Rookie",4,2)))))+MAX(-20,MIN(20,($B$4-IF(O164="",N164,O164))*2))+(IFERROR(IF(INDEX('Player Board'!$F$4:$F$163,MATCH(N164+1,'Player Board'!$H$4:$H$163,0))&gt;'Player Board'!F163,8,0),0)))</f>
        <v>-4</v>
      </c>
      <c r="Q164">
        <f t="shared" si="45"/>
        <v>-3.996</v>
      </c>
      <c r="S164">
        <f>IF(M164="","",IF(M164="QB",INDEX('Manager Profiles'!$T$5:$T$12,MATCH("Noah",'Manager Profiles'!$A$5:$A$12,0)),IF(M164="RB",INDEX('Manager Profiles'!$U$5:$U$12,MATCH("Noah",'Manager Profiles'!$A$5:$A$12,0)),IF(M164="WR",INDEX('Manager Profiles'!$V$5:$V$12,MATCH("Noah",'Manager Profiles'!$A$5:$A$12,0)),IF(M164="TE",INDEX('Manager Profiles'!$W$5:$W$12,MATCH("Noah",'Manager Profiles'!$A$5:$A$12,0)),0)))))</f>
        <v>1</v>
      </c>
      <c r="T164">
        <f>IF(M164="","",IF(M164="QB",INDEX('Manager Profiles'!$T$5:$T$12,MATCH($B$5,'Manager Profiles'!$A$5:$A$12,0)),IF(M164="RB",INDEX('Manager Profiles'!$U$5:$U$12,MATCH($B$5,'Manager Profiles'!$A$5:$A$12,0)),IF(M164="WR",INDEX('Manager Profiles'!$V$5:$V$12,MATCH($B$5,'Manager Profiles'!$A$5:$A$12,0)),IF(M164="TE",INDEX('Manager Profiles'!$W$5:$W$12,MATCH($B$5,'Manager Profiles'!$A$5:$A$12,0)),0)))))</f>
        <v>3</v>
      </c>
      <c r="U164">
        <f t="shared" si="46"/>
        <v>-2</v>
      </c>
      <c r="V164">
        <f t="shared" si="47"/>
        <v>0</v>
      </c>
      <c r="W164">
        <f t="shared" ca="1" si="48"/>
        <v>-9999</v>
      </c>
      <c r="X164">
        <f ca="1">IF(M164="","",IFERROR(_xludf.MINIFS($N$5:$N$164,$M$5:$M$164,M164,$N$5:$N$164,"&gt;"&amp;N164,$P$5:$P$164,"&gt;-9999"),N164+20))</f>
        <v>180</v>
      </c>
      <c r="Y164">
        <f t="shared" ca="1" si="49"/>
        <v>20</v>
      </c>
      <c r="Z164">
        <f t="shared" si="50"/>
        <v>-96</v>
      </c>
      <c r="AA164" t="str">
        <f t="shared" si="51"/>
        <v>No</v>
      </c>
      <c r="AB164" t="str">
        <f t="shared" ca="1" si="52"/>
        <v>Yes</v>
      </c>
      <c r="AC164" t="str">
        <f t="shared" si="53"/>
        <v>No</v>
      </c>
      <c r="AD164" t="str">
        <f t="shared" ca="1" si="54"/>
        <v>No</v>
      </c>
    </row>
  </sheetData>
  <mergeCells count="2">
    <mergeCell ref="A1:Q1"/>
    <mergeCell ref="A2:Q2"/>
  </mergeCells>
  <conditionalFormatting sqref="A12:J21">
    <cfRule type="expression" dxfId="157" priority="22">
      <formula>$C12="QB"</formula>
    </cfRule>
    <cfRule type="expression" dxfId="156" priority="23">
      <formula>$C12="RB"</formula>
    </cfRule>
    <cfRule type="expression" dxfId="155" priority="24">
      <formula>$C12="WR"</formula>
    </cfRule>
    <cfRule type="expression" dxfId="154" priority="25">
      <formula>$C12="TE"</formula>
    </cfRule>
    <cfRule type="expression" dxfId="153" priority="26">
      <formula>$C12="K"</formula>
    </cfRule>
    <cfRule type="expression" dxfId="152" priority="27">
      <formula>$C12="DST"</formula>
    </cfRule>
  </conditionalFormatting>
  <conditionalFormatting sqref="B5">
    <cfRule type="expression" dxfId="151" priority="2">
      <formula>B5="Noah"</formula>
    </cfRule>
    <cfRule type="expression" dxfId="150" priority="3">
      <formula>B5="Colby"</formula>
    </cfRule>
    <cfRule type="expression" dxfId="149" priority="4">
      <formula>B5="Adam"</formula>
    </cfRule>
    <cfRule type="expression" dxfId="148" priority="5">
      <formula>B5="Jacob"</formula>
    </cfRule>
    <cfRule type="expression" dxfId="147" priority="6">
      <formula>B5="Medhansh"</formula>
    </cfRule>
    <cfRule type="expression" dxfId="146" priority="7">
      <formula>B5="Luke"</formula>
    </cfRule>
    <cfRule type="expression" dxfId="145" priority="8">
      <formula>B5="Spohn"</formula>
    </cfRule>
    <cfRule type="expression" dxfId="144" priority="9">
      <formula>B5="Nolen"</formula>
    </cfRule>
  </conditionalFormatting>
  <conditionalFormatting sqref="C12:C21">
    <cfRule type="expression" dxfId="143" priority="10">
      <formula>C12="QB"</formula>
    </cfRule>
    <cfRule type="expression" dxfId="142" priority="11">
      <formula>C12="RB"</formula>
    </cfRule>
    <cfRule type="expression" dxfId="141" priority="12">
      <formula>C12="WR"</formula>
    </cfRule>
    <cfRule type="expression" dxfId="140" priority="13">
      <formula>C12="TE"</formula>
    </cfRule>
    <cfRule type="expression" dxfId="139" priority="14">
      <formula>C12="K"</formula>
    </cfRule>
    <cfRule type="expression" dxfId="138" priority="15">
      <formula>C12="DST"</formula>
    </cfRule>
  </conditionalFormatting>
  <conditionalFormatting sqref="J12:J21">
    <cfRule type="dataBar" priority="1">
      <dataBar>
        <cfvo type="min"/>
        <cfvo type="max"/>
        <color rgb="FFA02B93"/>
      </dataBar>
    </cfRule>
    <cfRule type="dataBar" priority="28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{48A5A078-114D-FAE5-18F8-6D43AFBA1D64}</x14:id>
        </ext>
      </extLst>
    </cfRule>
  </conditionalFormatting>
  <conditionalFormatting sqref="M5:M164">
    <cfRule type="expression" dxfId="137" priority="16">
      <formula>M5="QB"</formula>
    </cfRule>
    <cfRule type="expression" dxfId="136" priority="17">
      <formula>M5="RB"</formula>
    </cfRule>
    <cfRule type="expression" dxfId="135" priority="18">
      <formula>M5="WR"</formula>
    </cfRule>
    <cfRule type="expression" dxfId="134" priority="19">
      <formula>M5="TE"</formula>
    </cfRule>
    <cfRule type="expression" dxfId="133" priority="20">
      <formula>M5="K"</formula>
    </cfRule>
    <cfRule type="expression" dxfId="132" priority="21">
      <formula>M5="DST"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8A5A078-114D-FAE5-18F8-6D43AFBA1D64}">
            <x14:dataBar>
              <x14:cfvo type="min"/>
              <x14:cfvo type="max"/>
              <x14:negativeFillColor auto="1"/>
              <x14:axisColor auto="1"/>
            </x14:dataBar>
          </x14:cfRule>
          <xm:sqref>J12:J21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6"/>
  <sheetViews>
    <sheetView workbookViewId="0">
      <selection activeCell="F8" sqref="F8"/>
    </sheetView>
  </sheetViews>
  <sheetFormatPr defaultRowHeight="13.5"/>
  <cols>
    <col min="1" max="1" width="10" customWidth="1"/>
    <col min="2" max="2" width="24" customWidth="1"/>
    <col min="3" max="3" width="8" customWidth="1"/>
    <col min="4" max="4" width="12" customWidth="1"/>
    <col min="5" max="5" width="14" customWidth="1"/>
    <col min="6" max="6" width="13" customWidth="1"/>
    <col min="7" max="7" width="16" customWidth="1"/>
    <col min="8" max="8" width="24" customWidth="1"/>
    <col min="10" max="11" width="24" customWidth="1"/>
    <col min="12" max="14" width="12" customWidth="1"/>
  </cols>
  <sheetData>
    <row r="1" spans="1:14" ht="14" customHeight="1">
      <c r="A1" s="122" t="s">
        <v>441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13.9">
      <c r="A2" s="119" t="s">
        <v>442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11" customHeight="1">
      <c r="J3" s="123" t="str">
        <f>"LIVE ON-CLOCK NEEDS — "&amp;$B$5</f>
        <v>LIVE ON-CLOCK NEEDS — Colby</v>
      </c>
      <c r="K3" s="123"/>
      <c r="L3" s="123"/>
      <c r="M3" s="123"/>
      <c r="N3" s="123"/>
    </row>
    <row r="4" spans="1:14" ht="13.9">
      <c r="A4" s="56" t="s">
        <v>416</v>
      </c>
      <c r="B4">
        <f>'Pick Predictor'!B4</f>
        <v>1</v>
      </c>
      <c r="J4" s="53" t="s">
        <v>21</v>
      </c>
      <c r="K4" s="53" t="s">
        <v>443</v>
      </c>
      <c r="L4" s="53" t="s">
        <v>444</v>
      </c>
      <c r="M4" s="53" t="s">
        <v>438</v>
      </c>
      <c r="N4" s="53" t="s">
        <v>445</v>
      </c>
    </row>
    <row r="5" spans="1:14" ht="13.9">
      <c r="A5" s="56" t="s">
        <v>434</v>
      </c>
      <c r="B5" t="str">
        <f>'Pick Predictor'!B5</f>
        <v>Colby</v>
      </c>
      <c r="J5" t="s">
        <v>25</v>
      </c>
      <c r="K5">
        <f>IFERROR(INDEX('Manager Profiles'!$J$5:$J$12,MATCH($B$5,'Manager Profiles'!$A$5:$A$12,0)),"")</f>
        <v>2</v>
      </c>
      <c r="L5">
        <f>IFERROR(INDEX('Manager Profiles'!$C$5:$C$12,MATCH($B$5,'Manager Profiles'!$A$5:$A$12,0)),"")</f>
        <v>2</v>
      </c>
      <c r="M5">
        <f>MAX(0,L5-K5)</f>
        <v>0</v>
      </c>
      <c r="N5" t="str">
        <f>IF(M5&gt;=3,"High",IF(M5=2,"Medium",IF(M5=1,"Low","Filled")))</f>
        <v>Filled</v>
      </c>
    </row>
    <row r="6" spans="1:14" ht="13.9">
      <c r="A6" s="56" t="s">
        <v>439</v>
      </c>
      <c r="B6" t="str">
        <f>'Pick Predictor'!B6</f>
        <v>Balanced</v>
      </c>
      <c r="J6" t="s">
        <v>28</v>
      </c>
      <c r="K6">
        <f>IFERROR(INDEX('Manager Profiles'!$K$5:$K$12,MATCH($B$5,'Manager Profiles'!$A$5:$A$12,0)),"")</f>
        <v>2</v>
      </c>
      <c r="L6">
        <f>IFERROR(INDEX('Manager Profiles'!$D$5:$D$12,MATCH($B$5,'Manager Profiles'!$A$5:$A$12,0)),"")</f>
        <v>5</v>
      </c>
      <c r="M6">
        <f>MAX(0,L6-K6)</f>
        <v>3</v>
      </c>
      <c r="N6" t="str">
        <f>IF(M6&gt;=3,"High",IF(M6=2,"Medium",IF(M6=1,"Low","Filled")))</f>
        <v>High</v>
      </c>
    </row>
    <row r="7" spans="1:14" ht="13.9">
      <c r="A7" s="56" t="s">
        <v>386</v>
      </c>
      <c r="B7" t="str">
        <f>'Pick Predictor'!B7</f>
        <v>RB</v>
      </c>
      <c r="J7" t="s">
        <v>30</v>
      </c>
      <c r="K7">
        <f>IFERROR(INDEX('Manager Profiles'!$L$5:$L$12,MATCH($B$5,'Manager Profiles'!$A$5:$A$12,0)),"")</f>
        <v>3</v>
      </c>
      <c r="L7">
        <f>IFERROR(INDEX('Manager Profiles'!$E$5:$E$12,MATCH($B$5,'Manager Profiles'!$A$5:$A$12,0)),"")</f>
        <v>5</v>
      </c>
      <c r="M7">
        <f>MAX(0,L7-K7)</f>
        <v>2</v>
      </c>
      <c r="N7" t="str">
        <f>IF(M7&gt;=3,"High",IF(M7=2,"Medium",IF(M7=1,"Low","Filled")))</f>
        <v>Medium</v>
      </c>
    </row>
    <row r="8" spans="1:14" ht="13.9">
      <c r="A8" s="56" t="s">
        <v>360</v>
      </c>
      <c r="B8">
        <f>'Pick Predictor'!B8</f>
        <v>13</v>
      </c>
      <c r="J8" t="s">
        <v>32</v>
      </c>
      <c r="K8">
        <f>IFERROR(INDEX('Manager Profiles'!$M$5:$M$12,MATCH($B$5,'Manager Profiles'!$A$5:$A$12,0)),"")</f>
        <v>1</v>
      </c>
      <c r="L8">
        <f>IFERROR(INDEX('Manager Profiles'!$F$5:$F$12,MATCH($B$5,'Manager Profiles'!$A$5:$A$12,0)),"")</f>
        <v>1</v>
      </c>
      <c r="M8">
        <f>MAX(0,L8-K8)</f>
        <v>0</v>
      </c>
      <c r="N8" t="str">
        <f>IF(M8&gt;=3,"High",IF(M8=2,"Medium",IF(M8=1,"Low","Filled")))</f>
        <v>Filled</v>
      </c>
    </row>
    <row r="9" spans="1:14" ht="13.9">
      <c r="A9" s="56" t="s">
        <v>446</v>
      </c>
      <c r="B9" t="str">
        <f>'Pick Predictor'!B12</f>
        <v>Jeremiyah Love</v>
      </c>
    </row>
    <row r="10" spans="1:14" ht="15">
      <c r="J10" s="125" t="s">
        <v>447</v>
      </c>
      <c r="K10" s="125"/>
      <c r="L10" s="125"/>
      <c r="M10" s="125"/>
      <c r="N10" s="125"/>
    </row>
    <row r="11" spans="1:14" ht="13.9">
      <c r="A11" s="53" t="s">
        <v>448</v>
      </c>
      <c r="B11" s="53" t="s">
        <v>121</v>
      </c>
      <c r="C11" s="53" t="s">
        <v>122</v>
      </c>
      <c r="D11" s="53" t="s">
        <v>417</v>
      </c>
      <c r="E11" s="53" t="s">
        <v>418</v>
      </c>
      <c r="F11" s="53" t="s">
        <v>440</v>
      </c>
      <c r="G11" s="53" t="s">
        <v>360</v>
      </c>
      <c r="H11" s="53" t="s">
        <v>449</v>
      </c>
      <c r="J11" s="96" t="s">
        <v>450</v>
      </c>
      <c r="K11" t="str">
        <f ca="1">IF(MAX('Pick Predictor'!$W$5:$W$164)&lt;0,"No extreme target",INDEX('Pick Predictor'!$L$5:$L$164,MATCH(MAX('Pick Predictor'!$W$5:$W$164),'Pick Predictor'!$W$5:$W$164,0)))</f>
        <v>No extreme target</v>
      </c>
    </row>
    <row r="12" spans="1:14" ht="13.9">
      <c r="A12">
        <f>'Pick Predictor'!A12</f>
        <v>1</v>
      </c>
      <c r="B12" t="str">
        <f>'Pick Predictor'!B12</f>
        <v>Jeremiyah Love</v>
      </c>
      <c r="C12" t="str">
        <f>'Pick Predictor'!C12</f>
        <v>RB</v>
      </c>
      <c r="D12">
        <f>'Pick Predictor'!D12</f>
        <v>24</v>
      </c>
      <c r="E12">
        <f>'Pick Predictor'!E12</f>
        <v>1</v>
      </c>
      <c r="F12">
        <f>'Pick Predictor'!J12</f>
        <v>308</v>
      </c>
      <c r="G12" t="str">
        <f>IF(OR(E12="",B8="None"),"",IF(E12&gt;B8,"Likely","Unlikely"))</f>
        <v>Unlikely</v>
      </c>
      <c r="H12" t="str">
        <f>IF(B12="","",IF(C12=B7,"Fills biggest need",IF(F12=MAX($F$12:$F$21),"Best overall fit","Value and roster fit")))</f>
        <v>Fills biggest need</v>
      </c>
      <c r="J12" s="96" t="s">
        <v>21</v>
      </c>
      <c r="K12" t="str">
        <f ca="1">IF(OR(K11="",K11="No extreme target"),"",INDEX('Pick Predictor'!$M$5:$M$164,MATCH(K11,'Pick Predictor'!$L$5:$L$164,0)))</f>
        <v/>
      </c>
    </row>
    <row r="13" spans="1:14" ht="13.9">
      <c r="A13">
        <f>'Pick Predictor'!A13</f>
        <v>2</v>
      </c>
      <c r="B13" t="str">
        <f>'Pick Predictor'!B13</f>
        <v>Carnell Tate</v>
      </c>
      <c r="C13" t="str">
        <f>'Pick Predictor'!C13</f>
        <v>WR</v>
      </c>
      <c r="D13">
        <f>'Pick Predictor'!D13</f>
        <v>31</v>
      </c>
      <c r="E13">
        <f>'Pick Predictor'!E13</f>
        <v>2</v>
      </c>
      <c r="F13">
        <f>'Pick Predictor'!J13</f>
        <v>274</v>
      </c>
      <c r="G13" t="str">
        <f>IF(OR(E13="",B8="None"),"",IF(E13&gt;B8,"Likely","Unlikely"))</f>
        <v>Unlikely</v>
      </c>
      <c r="H13" t="str">
        <f>IF(B13="","",IF(C13=B7,"Fills biggest need",IF(F13=MAX($F$12:$F$21),"Best overall fit","Value and roster fit")))</f>
        <v>Value and roster fit</v>
      </c>
      <c r="J13" s="96" t="s">
        <v>451</v>
      </c>
      <c r="K13" t="str">
        <f ca="1">IF(K11="No extreme target","",$B$5)</f>
        <v/>
      </c>
    </row>
    <row r="14" spans="1:14" ht="13.9">
      <c r="A14">
        <f>'Pick Predictor'!A14</f>
        <v>3</v>
      </c>
      <c r="B14" t="str">
        <f>'Pick Predictor'!B14</f>
        <v>Jordyn Tyson</v>
      </c>
      <c r="C14" t="str">
        <f>'Pick Predictor'!C14</f>
        <v>WR</v>
      </c>
      <c r="D14">
        <f>'Pick Predictor'!D14</f>
        <v>51</v>
      </c>
      <c r="E14">
        <f>'Pick Predictor'!E14</f>
        <v>3</v>
      </c>
      <c r="F14">
        <f>'Pick Predictor'!J14</f>
        <v>232</v>
      </c>
      <c r="G14" t="str">
        <f>IF(OR(E14="",B8="None"),"",IF(E14&gt;B8,"Likely","Unlikely"))</f>
        <v>Unlikely</v>
      </c>
      <c r="H14" t="str">
        <f>IF(B14="","",IF(C14=B7,"Fills biggest need",IF(F14=MAX($F$12:$F$21),"Best overall fit","Value and roster fit")))</f>
        <v>Value and roster fit</v>
      </c>
      <c r="J14" s="96" t="s">
        <v>452</v>
      </c>
      <c r="K14" t="str">
        <f ca="1">IF(OR(K11="",K11="No extreme target"),"",INDEX('Pick Predictor'!$S$5:$S$164,MATCH(K11,'Pick Predictor'!$L$5:$L$164,0)))</f>
        <v/>
      </c>
    </row>
    <row r="15" spans="1:14" ht="13.9">
      <c r="A15">
        <f>'Pick Predictor'!A15</f>
        <v>4</v>
      </c>
      <c r="B15" t="str">
        <f>'Pick Predictor'!B15</f>
        <v>Makai Lemon</v>
      </c>
      <c r="C15" t="str">
        <f>'Pick Predictor'!C15</f>
        <v>WR</v>
      </c>
      <c r="D15">
        <f>'Pick Predictor'!D15</f>
        <v>52</v>
      </c>
      <c r="E15">
        <f>'Pick Predictor'!E15</f>
        <v>4</v>
      </c>
      <c r="F15">
        <f>'Pick Predictor'!J15</f>
        <v>228</v>
      </c>
      <c r="G15" t="str">
        <f>IF(OR(E15="",B8="None"),"",IF(E15&gt;B8,"Likely","Unlikely"))</f>
        <v>Unlikely</v>
      </c>
      <c r="H15" t="str">
        <f>IF(B15="","",IF(C15=B7,"Fills biggest need",IF(F15=MAX($F$12:$F$21),"Best overall fit","Value and roster fit")))</f>
        <v>Value and roster fit</v>
      </c>
      <c r="J15" s="96" t="s">
        <v>453</v>
      </c>
      <c r="K15" t="str">
        <f ca="1">IF(OR(K11="",K11="No extreme target"),"",INDEX('Pick Predictor'!$T$5:$T$164,MATCH(K11,'Pick Predictor'!$L$5:$L$164,0)))</f>
        <v/>
      </c>
    </row>
    <row r="16" spans="1:14" ht="13.9">
      <c r="A16">
        <f>'Pick Predictor'!A16</f>
        <v>5</v>
      </c>
      <c r="B16" t="str">
        <f>'Pick Predictor'!B16</f>
        <v>Fernando Mendoza</v>
      </c>
      <c r="C16" t="str">
        <f>'Pick Predictor'!C16</f>
        <v>QB</v>
      </c>
      <c r="D16">
        <f>'Pick Predictor'!D16</f>
        <v>53</v>
      </c>
      <c r="E16">
        <f>'Pick Predictor'!E16</f>
        <v>5</v>
      </c>
      <c r="F16">
        <f>'Pick Predictor'!J16</f>
        <v>221</v>
      </c>
      <c r="G16" t="str">
        <f>IF(OR(E16="",B8="None"),"",IF(E16&gt;B8,"Likely","Unlikely"))</f>
        <v>Unlikely</v>
      </c>
      <c r="H16" t="str">
        <f>IF(B16="","",IF(C16=B7,"Fills biggest need",IF(F16=MAX($F$12:$F$21),"Best overall fit","Value and roster fit")))</f>
        <v>Value and roster fit</v>
      </c>
      <c r="J16" s="96" t="s">
        <v>454</v>
      </c>
      <c r="K16" t="str">
        <f ca="1">IF(OR(K11="",K11="No extreme target"),"",IF(INDEX('Pick Predictor'!$V$5:$V$164,MATCH(K11,'Pick Predictor'!$L$5:$L$164,0))&gt;=3,"Yes","No"))</f>
        <v/>
      </c>
    </row>
    <row r="17" spans="1:14" ht="13.9">
      <c r="A17">
        <f>'Pick Predictor'!A17</f>
        <v>6</v>
      </c>
      <c r="B17" t="str">
        <f>'Pick Predictor'!B17</f>
        <v>Josh Jacobs</v>
      </c>
      <c r="C17" t="str">
        <f>'Pick Predictor'!C17</f>
        <v>RB</v>
      </c>
      <c r="D17">
        <f>'Pick Predictor'!D17</f>
        <v>60</v>
      </c>
      <c r="E17">
        <f>'Pick Predictor'!E17</f>
        <v>10</v>
      </c>
      <c r="F17">
        <f>'Pick Predictor'!J17</f>
        <v>220</v>
      </c>
      <c r="G17" t="str">
        <f>IF(OR(E17="",B8="None"),"",IF(E17&gt;B8,"Likely","Unlikely"))</f>
        <v>Unlikely</v>
      </c>
      <c r="H17" t="str">
        <f>IF(B17="","",IF(C17=B7,"Fills biggest need",IF(F17=MAX($F$12:$F$21),"Best overall fit","Value and roster fit")))</f>
        <v>Fills biggest need</v>
      </c>
      <c r="J17" s="101" t="s">
        <v>455</v>
      </c>
      <c r="K17" t="str">
        <f ca="1">IF(OR(K11="",K11="No extreme target"),"",INDEX('Pick Predictor'!$Z$5:$Z$164,MATCH(K11,'Pick Predictor'!$L$5:$L$164,0)))</f>
        <v/>
      </c>
    </row>
    <row r="18" spans="1:14" ht="13.9">
      <c r="A18">
        <f>'Pick Predictor'!A18</f>
        <v>7</v>
      </c>
      <c r="B18" t="str">
        <f>'Pick Predictor'!B18</f>
        <v>Brock Purdy</v>
      </c>
      <c r="C18" t="str">
        <f>'Pick Predictor'!C18</f>
        <v>QB</v>
      </c>
      <c r="D18">
        <f>'Pick Predictor'!D18</f>
        <v>54</v>
      </c>
      <c r="E18">
        <f>'Pick Predictor'!E18</f>
        <v>6</v>
      </c>
      <c r="F18">
        <f>'Pick Predictor'!J18</f>
        <v>215</v>
      </c>
      <c r="G18" t="str">
        <f>IF(OR(E18="",B8="None"),"",IF(E18&gt;B8,"Likely","Unlikely"))</f>
        <v>Unlikely</v>
      </c>
      <c r="H18" t="str">
        <f>IF(B18="","",IF(C18=B7,"Fills biggest need",IF(F18=MAX($F$12:$F$21),"Best overall fit","Value and roster fit")))</f>
        <v>Value and roster fit</v>
      </c>
      <c r="J18" s="101" t="s">
        <v>456</v>
      </c>
      <c r="K18" t="str">
        <f ca="1">IF(OR(K11="",K11="No extreme target"),"",INDEX('Pick Predictor'!$Y$5:$Y$164,MATCH(K11,'Pick Predictor'!$L$5:$L$164,0)))</f>
        <v/>
      </c>
    </row>
    <row r="19" spans="1:14" ht="13.9">
      <c r="A19">
        <f>'Pick Predictor'!A19</f>
        <v>8</v>
      </c>
      <c r="B19" t="str">
        <f>'Pick Predictor'!B19</f>
        <v>Tee Higgins</v>
      </c>
      <c r="C19" t="str">
        <f>'Pick Predictor'!C19</f>
        <v>WR</v>
      </c>
      <c r="D19">
        <f>'Pick Predictor'!D19</f>
        <v>55</v>
      </c>
      <c r="E19">
        <f>'Pick Predictor'!E19</f>
        <v>7</v>
      </c>
      <c r="F19">
        <f>'Pick Predictor'!J19</f>
        <v>214</v>
      </c>
      <c r="G19" t="str">
        <f>IF(OR(E19="",B8="None"),"",IF(E19&gt;B8,"Likely","Unlikely"))</f>
        <v>Unlikely</v>
      </c>
      <c r="H19" t="str">
        <f>IF(B19="","",IF(C19=B7,"Fills biggest need",IF(F19=MAX($F$12:$F$21),"Best overall fit","Value and roster fit")))</f>
        <v>Value and roster fit</v>
      </c>
      <c r="J19" s="102" t="s">
        <v>457</v>
      </c>
      <c r="K19" s="97" t="str">
        <f ca="1">IF(OR(K11="",K11="No extreme target"),"",INDEX('Pick Predictor'!$W$5:$W$164,MATCH(K11,'Pick Predictor'!$L$5:$L$164,0)))</f>
        <v/>
      </c>
      <c r="L19" s="97"/>
      <c r="M19" s="97"/>
      <c r="N19" s="97"/>
    </row>
    <row r="20" spans="1:14" ht="27.75">
      <c r="A20">
        <f>'Pick Predictor'!A20</f>
        <v>9</v>
      </c>
      <c r="B20" t="str">
        <f>'Pick Predictor'!B20</f>
        <v>Brian Thomas Jr.</v>
      </c>
      <c r="C20" t="str">
        <f>'Pick Predictor'!C20</f>
        <v>WR</v>
      </c>
      <c r="D20">
        <f>'Pick Predictor'!D20</f>
        <v>58</v>
      </c>
      <c r="E20">
        <f>'Pick Predictor'!E20</f>
        <v>8</v>
      </c>
      <c r="F20">
        <f>'Pick Predictor'!J20</f>
        <v>206</v>
      </c>
      <c r="G20" t="str">
        <f>IF(OR(E20="",B8="None"),"",IF(E20&gt;B8,"Likely","Unlikely"))</f>
        <v>Unlikely</v>
      </c>
      <c r="H20" t="str">
        <f>IF(B20="","",IF(C20=B7,"Fills biggest need",IF(F20=MAX($F$12:$F$21),"Best overall fit","Value and roster fit")))</f>
        <v>Value and roster fit</v>
      </c>
      <c r="J20" s="102" t="s">
        <v>437</v>
      </c>
      <c r="K20" s="99" t="str">
        <f ca="1">IF(K11="No extreme target","Hold — no extreme trade-up opportunity",IF(AND(K18&gt;=16,K17&gt;=5,K16="Yes",K19&gt;=180),"Strongly consider trading up",IF(AND(K18&gt;=12,K17&gt;=3,K16="Yes",K19&gt;=140),"Consider trading up","Hold your pick")))</f>
        <v>Hold — no extreme trade-up opportunity</v>
      </c>
      <c r="L20" s="99"/>
      <c r="M20" s="99"/>
      <c r="N20" s="99"/>
    </row>
    <row r="21" spans="1:14">
      <c r="A21">
        <f>'Pick Predictor'!A21</f>
        <v>10</v>
      </c>
      <c r="B21" t="str">
        <f>'Pick Predictor'!B21</f>
        <v>Rome Odunze</v>
      </c>
      <c r="C21" t="str">
        <f>'Pick Predictor'!C21</f>
        <v>WR</v>
      </c>
      <c r="D21">
        <f>'Pick Predictor'!D21</f>
        <v>59</v>
      </c>
      <c r="E21">
        <f>'Pick Predictor'!E21</f>
        <v>9</v>
      </c>
      <c r="F21">
        <f>'Pick Predictor'!J21</f>
        <v>202</v>
      </c>
      <c r="G21" t="str">
        <f>IF(OR(E21="",B8="None"),"",IF(E21&gt;B8,"Likely","Unlikely"))</f>
        <v>Unlikely</v>
      </c>
      <c r="H21" t="str">
        <f>IF(B21="","",IF(C21=B7,"Fills biggest need",IF(F21=MAX($F$12:$F$21),"Best overall fit","Value and roster fit")))</f>
        <v>Value and roster fit</v>
      </c>
      <c r="J21" s="126" t="s">
        <v>458</v>
      </c>
      <c r="K21" s="126"/>
      <c r="L21" s="126"/>
      <c r="M21" s="126"/>
      <c r="N21" s="126"/>
    </row>
    <row r="22" spans="1:14">
      <c r="J22" s="126"/>
      <c r="K22" s="126"/>
      <c r="L22" s="126"/>
      <c r="M22" s="126"/>
      <c r="N22" s="126"/>
    </row>
    <row r="23" spans="1:14" ht="12" customHeight="1">
      <c r="A23" s="76" t="s">
        <v>459</v>
      </c>
      <c r="B23" s="76"/>
      <c r="C23" s="76"/>
      <c r="D23" s="76"/>
      <c r="E23" s="76"/>
      <c r="F23" s="76"/>
      <c r="G23" s="76"/>
      <c r="H23" s="76"/>
      <c r="I23" s="76"/>
      <c r="J23" s="127"/>
      <c r="K23" s="127"/>
      <c r="L23" s="126"/>
      <c r="M23" s="126"/>
      <c r="N23" s="126"/>
    </row>
    <row r="24" spans="1:14" ht="15">
      <c r="A24" t="s">
        <v>460</v>
      </c>
      <c r="H24" s="124" t="s">
        <v>461</v>
      </c>
      <c r="I24" s="124"/>
      <c r="J24" s="124"/>
      <c r="K24" s="124"/>
    </row>
    <row r="26" spans="1:14">
      <c r="A26" t="s">
        <v>462</v>
      </c>
      <c r="B26" t="s">
        <v>121</v>
      </c>
      <c r="C26" t="s">
        <v>122</v>
      </c>
      <c r="D26" t="s">
        <v>65</v>
      </c>
      <c r="E26" t="s">
        <v>463</v>
      </c>
      <c r="F26" t="s">
        <v>133</v>
      </c>
      <c r="H26" t="s">
        <v>21</v>
      </c>
      <c r="I26" t="s">
        <v>443</v>
      </c>
      <c r="J26" t="s">
        <v>464</v>
      </c>
      <c r="K26" t="s">
        <v>465</v>
      </c>
    </row>
    <row r="27" spans="1:14">
      <c r="A27" t="s">
        <v>466</v>
      </c>
      <c r="B27" t="s">
        <v>175</v>
      </c>
      <c r="C27" t="s">
        <v>25</v>
      </c>
      <c r="D27" t="s">
        <v>467</v>
      </c>
      <c r="E27" t="s">
        <v>468</v>
      </c>
      <c r="F27" t="s">
        <v>469</v>
      </c>
      <c r="H27" t="s">
        <v>25</v>
      </c>
      <c r="I27">
        <f>1+COUNTIFS('Draft Tracker'!$D$4:$D$147,"Noah",'Draft Tracker'!$F$4:$F$147,"QB",'Draft Tracker'!$E$4:$E$147,"&lt;&gt;")</f>
        <v>1</v>
      </c>
      <c r="J27">
        <v>2</v>
      </c>
      <c r="K27">
        <f t="shared" ref="K27:K32" si="0">MAX(0,J27-I27)</f>
        <v>1</v>
      </c>
    </row>
    <row r="28" spans="1:14">
      <c r="A28" t="s">
        <v>470</v>
      </c>
      <c r="B28" t="str">
        <f>IFERROR(INDEX('Draft Tracker'!$E$4:$E$147,MATCH("QB-1",'Draft Tracker'!$K$4:$K$147,0)),"")</f>
        <v/>
      </c>
      <c r="C28" t="s">
        <v>25</v>
      </c>
      <c r="D28" t="str">
        <f>IF(B28="","Draft","Draft Tracker")</f>
        <v>Draft</v>
      </c>
      <c r="E28" t="str">
        <f>IF(B28="","Open","Filled")</f>
        <v>Open</v>
      </c>
      <c r="F28" t="s">
        <v>471</v>
      </c>
      <c r="H28" t="s">
        <v>28</v>
      </c>
      <c r="I28">
        <f>3+COUNTIFS('Draft Tracker'!$D$4:$D$147,"Noah",'Draft Tracker'!$F$4:$F$147,"RB",'Draft Tracker'!$E$4:$E$147,"&lt;&gt;")</f>
        <v>3</v>
      </c>
      <c r="J28">
        <v>4</v>
      </c>
      <c r="K28">
        <f t="shared" si="0"/>
        <v>1</v>
      </c>
    </row>
    <row r="29" spans="1:14">
      <c r="A29" t="s">
        <v>472</v>
      </c>
      <c r="B29" t="str">
        <f>IFERROR(INDEX('Draft Tracker'!$E$4:$E$147,MATCH("QB-2",'Draft Tracker'!$K$4:$K$147,0)),"")</f>
        <v/>
      </c>
      <c r="C29" t="s">
        <v>25</v>
      </c>
      <c r="D29" t="str">
        <f>IF(B29="","Draft","Draft Tracker")</f>
        <v>Draft</v>
      </c>
      <c r="E29" t="str">
        <f>IF(B29="","Open","Filled")</f>
        <v>Open</v>
      </c>
      <c r="F29" t="s">
        <v>473</v>
      </c>
      <c r="H29" t="s">
        <v>30</v>
      </c>
      <c r="I29">
        <f>4+COUNTIFS('Draft Tracker'!$D$4:$D$147,"Noah",'Draft Tracker'!$F$4:$F$147,"WR",'Draft Tracker'!$E$4:$E$147,"&lt;&gt;")</f>
        <v>4</v>
      </c>
      <c r="J29">
        <v>5</v>
      </c>
      <c r="K29">
        <f t="shared" si="0"/>
        <v>1</v>
      </c>
    </row>
    <row r="30" spans="1:14">
      <c r="A30" t="s">
        <v>474</v>
      </c>
      <c r="B30" t="s">
        <v>155</v>
      </c>
      <c r="C30" t="s">
        <v>28</v>
      </c>
      <c r="D30" t="s">
        <v>467</v>
      </c>
      <c r="E30" t="s">
        <v>468</v>
      </c>
      <c r="F30" t="s">
        <v>475</v>
      </c>
      <c r="H30" t="s">
        <v>32</v>
      </c>
      <c r="I30">
        <f>COUNTIFS('Draft Tracker'!$D$4:$D$147,"Noah",'Draft Tracker'!$F$4:$F$147,"TE",'Draft Tracker'!$E$4:$E$147,"&lt;&gt;")</f>
        <v>0</v>
      </c>
      <c r="J30">
        <v>1</v>
      </c>
      <c r="K30">
        <f t="shared" si="0"/>
        <v>1</v>
      </c>
    </row>
    <row r="31" spans="1:14">
      <c r="A31" t="s">
        <v>476</v>
      </c>
      <c r="B31" t="s">
        <v>165</v>
      </c>
      <c r="C31" t="s">
        <v>28</v>
      </c>
      <c r="D31" t="s">
        <v>477</v>
      </c>
      <c r="E31" t="s">
        <v>468</v>
      </c>
      <c r="F31" t="s">
        <v>478</v>
      </c>
      <c r="H31" t="s">
        <v>34</v>
      </c>
      <c r="I31">
        <f>COUNTIFS('Draft Tracker'!$D$4:$D$147,"Noah",'Draft Tracker'!$F$4:$F$147,"K",'Draft Tracker'!$E$4:$E$147,"&lt;&gt;")</f>
        <v>0</v>
      </c>
      <c r="J31">
        <v>1</v>
      </c>
      <c r="K31">
        <f t="shared" si="0"/>
        <v>1</v>
      </c>
    </row>
    <row r="32" spans="1:14">
      <c r="A32" t="s">
        <v>479</v>
      </c>
      <c r="B32" t="s">
        <v>208</v>
      </c>
      <c r="C32" t="s">
        <v>28</v>
      </c>
      <c r="D32" t="s">
        <v>467</v>
      </c>
      <c r="E32" t="s">
        <v>468</v>
      </c>
      <c r="F32" t="s">
        <v>480</v>
      </c>
      <c r="H32" t="s">
        <v>36</v>
      </c>
      <c r="I32">
        <f>COUNTIFS('Draft Tracker'!$D$4:$D$147,"Noah",'Draft Tracker'!$F$4:$F$147,"DST",'Draft Tracker'!$E$4:$E$147,"&lt;&gt;")</f>
        <v>0</v>
      </c>
      <c r="J32">
        <v>1</v>
      </c>
      <c r="K32">
        <f t="shared" si="0"/>
        <v>1</v>
      </c>
    </row>
    <row r="33" spans="1:14">
      <c r="A33" t="s">
        <v>481</v>
      </c>
      <c r="B33" t="str">
        <f>IFERROR(INDEX('Draft Tracker'!$E$4:$E$147,MATCH("RB-1",'Draft Tracker'!$K$4:$K$147,0)),"")</f>
        <v/>
      </c>
      <c r="C33" t="s">
        <v>28</v>
      </c>
      <c r="D33" t="str">
        <f>IF(B33="","Draft","Draft Tracker")</f>
        <v>Draft</v>
      </c>
      <c r="E33" t="str">
        <f>IF(B33="","Open","Filled")</f>
        <v>Open</v>
      </c>
      <c r="F33" t="s">
        <v>482</v>
      </c>
    </row>
    <row r="34" spans="1:14">
      <c r="A34" t="s">
        <v>483</v>
      </c>
      <c r="B34" t="str">
        <f>IFERROR(INDEX('Draft Tracker'!$E$4:$E$147,MATCH("RB-2",'Draft Tracker'!$K$4:$K$147,0)),"")</f>
        <v/>
      </c>
      <c r="C34" t="s">
        <v>28</v>
      </c>
      <c r="D34" t="str">
        <f>IF(B34="","Draft","Draft Tracker")</f>
        <v>Draft</v>
      </c>
      <c r="E34" t="str">
        <f>IF(B34="","Open","Filled")</f>
        <v>Open</v>
      </c>
      <c r="F34" t="s">
        <v>484</v>
      </c>
      <c r="H34" t="s">
        <v>485</v>
      </c>
    </row>
    <row r="35" spans="1:14">
      <c r="A35" t="s">
        <v>486</v>
      </c>
      <c r="B35" t="s">
        <v>164</v>
      </c>
      <c r="C35" t="s">
        <v>30</v>
      </c>
      <c r="D35" t="s">
        <v>467</v>
      </c>
      <c r="E35" t="s">
        <v>468</v>
      </c>
      <c r="F35" t="s">
        <v>487</v>
      </c>
      <c r="H35" t="s">
        <v>488</v>
      </c>
      <c r="I35" t="s">
        <v>470</v>
      </c>
      <c r="J35" t="s">
        <v>149</v>
      </c>
      <c r="K35" t="s">
        <v>489</v>
      </c>
    </row>
    <row r="36" spans="1:14">
      <c r="A36" t="s">
        <v>490</v>
      </c>
      <c r="B36" t="s">
        <v>157</v>
      </c>
      <c r="C36" t="s">
        <v>30</v>
      </c>
      <c r="D36" t="s">
        <v>467</v>
      </c>
      <c r="E36" t="s">
        <v>468</v>
      </c>
      <c r="F36" t="s">
        <v>491</v>
      </c>
      <c r="H36" t="s">
        <v>492</v>
      </c>
      <c r="I36" t="s">
        <v>493</v>
      </c>
      <c r="J36" t="s">
        <v>149</v>
      </c>
      <c r="K36" t="s">
        <v>494</v>
      </c>
    </row>
    <row r="37" spans="1:14">
      <c r="A37" t="s">
        <v>495</v>
      </c>
      <c r="B37" t="s">
        <v>185</v>
      </c>
      <c r="C37" t="s">
        <v>30</v>
      </c>
      <c r="D37" t="s">
        <v>467</v>
      </c>
      <c r="E37" t="s">
        <v>468</v>
      </c>
      <c r="F37" t="s">
        <v>478</v>
      </c>
      <c r="H37" t="s">
        <v>496</v>
      </c>
      <c r="I37" t="s">
        <v>497</v>
      </c>
      <c r="J37" t="s">
        <v>174</v>
      </c>
      <c r="K37" t="s">
        <v>498</v>
      </c>
    </row>
    <row r="38" spans="1:14">
      <c r="A38" t="s">
        <v>499</v>
      </c>
      <c r="B38" t="s">
        <v>203</v>
      </c>
      <c r="C38" t="s">
        <v>30</v>
      </c>
      <c r="D38" t="s">
        <v>467</v>
      </c>
      <c r="E38" t="s">
        <v>468</v>
      </c>
      <c r="F38" t="s">
        <v>500</v>
      </c>
      <c r="H38" t="s">
        <v>501</v>
      </c>
      <c r="I38" t="s">
        <v>481</v>
      </c>
      <c r="J38" t="s">
        <v>253</v>
      </c>
      <c r="K38" t="s">
        <v>502</v>
      </c>
    </row>
    <row r="39" spans="1:14">
      <c r="A39" t="s">
        <v>503</v>
      </c>
      <c r="B39" t="str">
        <f>IFERROR(INDEX('Draft Tracker'!$E$4:$E$147,MATCH("WR-1",'Draft Tracker'!$K$4:$K$147,0)),"")</f>
        <v/>
      </c>
      <c r="C39" t="s">
        <v>30</v>
      </c>
      <c r="D39" t="str">
        <f t="shared" ref="D39:D44" si="1">IF(B39="","Draft","Draft Tracker")</f>
        <v>Draft</v>
      </c>
      <c r="E39" t="str">
        <f t="shared" ref="E39:E44" si="2">IF(B39="","Open","Filled")</f>
        <v>Open</v>
      </c>
      <c r="F39" t="s">
        <v>504</v>
      </c>
      <c r="H39" t="s">
        <v>505</v>
      </c>
      <c r="I39" t="s">
        <v>506</v>
      </c>
      <c r="J39" t="s">
        <v>253</v>
      </c>
      <c r="K39" t="s">
        <v>507</v>
      </c>
    </row>
    <row r="40" spans="1:14">
      <c r="A40" t="s">
        <v>508</v>
      </c>
      <c r="B40" t="str">
        <f>IFERROR(INDEX('Draft Tracker'!$E$4:$E$147,MATCH("WR-2",'Draft Tracker'!$K$4:$K$147,0)),"")</f>
        <v/>
      </c>
      <c r="C40" t="s">
        <v>30</v>
      </c>
      <c r="D40" t="str">
        <f t="shared" si="1"/>
        <v>Draft</v>
      </c>
      <c r="E40" t="str">
        <f t="shared" si="2"/>
        <v>Open</v>
      </c>
      <c r="F40" t="s">
        <v>509</v>
      </c>
      <c r="H40" t="s">
        <v>510</v>
      </c>
      <c r="I40" t="s">
        <v>511</v>
      </c>
      <c r="J40" t="s">
        <v>234</v>
      </c>
      <c r="K40" t="s">
        <v>512</v>
      </c>
    </row>
    <row r="41" spans="1:14">
      <c r="A41" t="s">
        <v>493</v>
      </c>
      <c r="B41" t="str">
        <f>IFERROR(INDEX('Draft Tracker'!$E$4:$E$147,MATCH("TE-1",'Draft Tracker'!$K$4:$K$147,0)),"")</f>
        <v/>
      </c>
      <c r="C41" t="s">
        <v>32</v>
      </c>
      <c r="D41" t="str">
        <f t="shared" si="1"/>
        <v>Draft</v>
      </c>
      <c r="E41" t="str">
        <f t="shared" si="2"/>
        <v>Open</v>
      </c>
      <c r="F41" t="s">
        <v>513</v>
      </c>
      <c r="H41" t="s">
        <v>514</v>
      </c>
      <c r="I41" t="s">
        <v>36</v>
      </c>
      <c r="J41" t="s">
        <v>234</v>
      </c>
      <c r="K41" t="s">
        <v>515</v>
      </c>
    </row>
    <row r="42" spans="1:14">
      <c r="A42" t="s">
        <v>516</v>
      </c>
      <c r="B42" t="str">
        <f>IFERROR(INDEX('Draft Tracker'!$E$4:$E$147,MATCH("TE-2",'Draft Tracker'!$K$4:$K$147,0)),"")</f>
        <v/>
      </c>
      <c r="C42" t="s">
        <v>32</v>
      </c>
      <c r="D42" t="str">
        <f t="shared" si="1"/>
        <v>Draft</v>
      </c>
      <c r="E42" t="str">
        <f t="shared" si="2"/>
        <v>Open</v>
      </c>
      <c r="F42" t="s">
        <v>517</v>
      </c>
      <c r="H42" t="s">
        <v>518</v>
      </c>
    </row>
    <row r="43" spans="1:14">
      <c r="A43" t="s">
        <v>34</v>
      </c>
      <c r="B43" t="str">
        <f>IFERROR(INDEX('Draft Tracker'!$E$4:$E$147,MATCH("K-1",'Draft Tracker'!$K$4:$K$147,0)),"")</f>
        <v/>
      </c>
      <c r="C43" t="s">
        <v>34</v>
      </c>
      <c r="D43" t="str">
        <f t="shared" si="1"/>
        <v>Draft</v>
      </c>
      <c r="E43" t="str">
        <f t="shared" si="2"/>
        <v>Open</v>
      </c>
      <c r="F43" t="s">
        <v>519</v>
      </c>
      <c r="H43" t="s">
        <v>520</v>
      </c>
    </row>
    <row r="44" spans="1:14">
      <c r="A44" t="s">
        <v>36</v>
      </c>
      <c r="B44" t="str">
        <f>IFERROR(INDEX('Draft Tracker'!$E$4:$E$147,MATCH("DST-1",'Draft Tracker'!$K$4:$K$147,0)),"")</f>
        <v/>
      </c>
      <c r="C44" t="s">
        <v>36</v>
      </c>
      <c r="D44" t="str">
        <f t="shared" si="1"/>
        <v>Draft</v>
      </c>
      <c r="E44" t="str">
        <f t="shared" si="2"/>
        <v>Open</v>
      </c>
      <c r="F44" t="s">
        <v>521</v>
      </c>
    </row>
    <row r="46" spans="1:14" ht="1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</row>
  </sheetData>
  <mergeCells count="7">
    <mergeCell ref="A46:N46"/>
    <mergeCell ref="A1:N1"/>
    <mergeCell ref="A2:N2"/>
    <mergeCell ref="J3:N3"/>
    <mergeCell ref="H24:K24"/>
    <mergeCell ref="J10:N10"/>
    <mergeCell ref="J21:N23"/>
  </mergeCells>
  <conditionalFormatting sqref="A27:F46">
    <cfRule type="expression" dxfId="131" priority="31">
      <formula>$C27="QB"</formula>
    </cfRule>
    <cfRule type="expression" dxfId="130" priority="32">
      <formula>$C27="RB"</formula>
    </cfRule>
    <cfRule type="expression" dxfId="129" priority="33">
      <formula>$C27="WR"</formula>
    </cfRule>
    <cfRule type="expression" dxfId="128" priority="34">
      <formula>$C27="TE"</formula>
    </cfRule>
    <cfRule type="expression" dxfId="127" priority="35">
      <formula>$C27="K"</formula>
    </cfRule>
    <cfRule type="expression" dxfId="126" priority="36">
      <formula>$C27="DST"</formula>
    </cfRule>
  </conditionalFormatting>
  <conditionalFormatting sqref="A12:H21">
    <cfRule type="expression" dxfId="125" priority="25">
      <formula>$C12="QB"</formula>
    </cfRule>
    <cfRule type="expression" dxfId="124" priority="26">
      <formula>$C12="RB"</formula>
    </cfRule>
    <cfRule type="expression" dxfId="123" priority="27">
      <formula>$C12="WR"</formula>
    </cfRule>
    <cfRule type="expression" dxfId="122" priority="28">
      <formula>$C12="TE"</formula>
    </cfRule>
    <cfRule type="expression" dxfId="121" priority="29">
      <formula>$C12="K"</formula>
    </cfRule>
    <cfRule type="expression" dxfId="120" priority="30">
      <formula>$C12="DST"</formula>
    </cfRule>
  </conditionalFormatting>
  <conditionalFormatting sqref="B5">
    <cfRule type="expression" dxfId="119" priority="44">
      <formula>B5="Noah"</formula>
    </cfRule>
    <cfRule type="expression" dxfId="118" priority="45">
      <formula>B5="Colby"</formula>
    </cfRule>
    <cfRule type="expression" dxfId="117" priority="46">
      <formula>B5="Adam"</formula>
    </cfRule>
    <cfRule type="expression" dxfId="116" priority="47">
      <formula>B5="Jacob"</formula>
    </cfRule>
    <cfRule type="expression" dxfId="115" priority="48">
      <formula>B5="Medhansh"</formula>
    </cfRule>
    <cfRule type="expression" dxfId="114" priority="49">
      <formula>B5="Luke"</formula>
    </cfRule>
    <cfRule type="expression" dxfId="113" priority="50">
      <formula>B5="Spohn"</formula>
    </cfRule>
    <cfRule type="expression" dxfId="112" priority="51">
      <formula>B5="Nolen"</formula>
    </cfRule>
  </conditionalFormatting>
  <conditionalFormatting sqref="C12:C21">
    <cfRule type="expression" dxfId="111" priority="7">
      <formula>C12="QB"</formula>
    </cfRule>
    <cfRule type="expression" dxfId="110" priority="8">
      <formula>C12="RB"</formula>
    </cfRule>
    <cfRule type="expression" dxfId="109" priority="9">
      <formula>C12="WR"</formula>
    </cfRule>
    <cfRule type="expression" dxfId="108" priority="10">
      <formula>C12="TE"</formula>
    </cfRule>
    <cfRule type="expression" dxfId="107" priority="11">
      <formula>C12="K"</formula>
    </cfRule>
    <cfRule type="expression" dxfId="106" priority="12">
      <formula>C12="DST"</formula>
    </cfRule>
  </conditionalFormatting>
  <conditionalFormatting sqref="C27:C46">
    <cfRule type="expression" dxfId="105" priority="13">
      <formula>C27="QB"</formula>
    </cfRule>
    <cfRule type="expression" dxfId="104" priority="14">
      <formula>C27="RB"</formula>
    </cfRule>
    <cfRule type="expression" dxfId="103" priority="15">
      <formula>C27="WR"</formula>
    </cfRule>
    <cfRule type="expression" dxfId="102" priority="16">
      <formula>C27="TE"</formula>
    </cfRule>
    <cfRule type="expression" dxfId="101" priority="17">
      <formula>C27="K"</formula>
    </cfRule>
    <cfRule type="expression" dxfId="100" priority="18">
      <formula>C27="DST"</formula>
    </cfRule>
  </conditionalFormatting>
  <conditionalFormatting sqref="D27:D46">
    <cfRule type="expression" dxfId="99" priority="37">
      <formula>D27="Keeper"</formula>
    </cfRule>
    <cfRule type="expression" dxfId="98" priority="38">
      <formula>D27="Taxi"</formula>
    </cfRule>
    <cfRule type="expression" dxfId="97" priority="39">
      <formula>D27="Draft"</formula>
    </cfRule>
    <cfRule type="expression" dxfId="96" priority="40">
      <formula>D27="Draft Tracker"</formula>
    </cfRule>
  </conditionalFormatting>
  <conditionalFormatting sqref="E27:E46">
    <cfRule type="expression" dxfId="95" priority="41">
      <formula>E27="Locked"</formula>
    </cfRule>
    <cfRule type="expression" dxfId="94" priority="42">
      <formula>E27="Filled"</formula>
    </cfRule>
    <cfRule type="expression" dxfId="93" priority="43">
      <formula>E27="Open"</formula>
    </cfRule>
  </conditionalFormatting>
  <conditionalFormatting sqref="H27:H32">
    <cfRule type="expression" dxfId="92" priority="19">
      <formula>H27="QB"</formula>
    </cfRule>
    <cfRule type="expression" dxfId="91" priority="20">
      <formula>H27="RB"</formula>
    </cfRule>
    <cfRule type="expression" dxfId="90" priority="21">
      <formula>H27="WR"</formula>
    </cfRule>
    <cfRule type="expression" dxfId="89" priority="22">
      <formula>H27="TE"</formula>
    </cfRule>
    <cfRule type="expression" dxfId="88" priority="23">
      <formula>H27="K"</formula>
    </cfRule>
    <cfRule type="expression" dxfId="87" priority="24">
      <formula>H27="DST"</formula>
    </cfRule>
  </conditionalFormatting>
  <conditionalFormatting sqref="J5:J8">
    <cfRule type="expression" dxfId="86" priority="1">
      <formula>J5="QB"</formula>
    </cfRule>
    <cfRule type="expression" dxfId="85" priority="2">
      <formula>J5="RB"</formula>
    </cfRule>
    <cfRule type="expression" dxfId="84" priority="3">
      <formula>J5="WR"</formula>
    </cfRule>
    <cfRule type="expression" dxfId="83" priority="4">
      <formula>J5="TE"</formula>
    </cfRule>
    <cfRule type="expression" dxfId="82" priority="5">
      <formula>J5="K"</formula>
    </cfRule>
    <cfRule type="expression" dxfId="81" priority="6">
      <formula>J5="DST"</formula>
    </cfRule>
  </conditionalFormatting>
  <conditionalFormatting sqref="K12">
    <cfRule type="expression" dxfId="80" priority="52">
      <formula>K12="QB"</formula>
    </cfRule>
    <cfRule type="expression" dxfId="79" priority="53">
      <formula>K12="RB"</formula>
    </cfRule>
    <cfRule type="expression" dxfId="78" priority="54">
      <formula>K12="WR"</formula>
    </cfRule>
    <cfRule type="expression" dxfId="77" priority="55">
      <formula>K12="TE"</formula>
    </cfRule>
  </conditionalFormatting>
  <conditionalFormatting sqref="K18:K19">
    <cfRule type="expression" dxfId="76" priority="58">
      <formula>OR(LEFT(K18,4)="Hold",LEFT(K18,7)="Monitor")</formula>
    </cfRule>
  </conditionalFormatting>
  <conditionalFormatting sqref="K18:K20">
    <cfRule type="expression" dxfId="75" priority="56">
      <formula>LEFT(K18,8)="Strongly"</formula>
    </cfRule>
    <cfRule type="expression" dxfId="74" priority="57">
      <formula>LEFT(K18,8)="Consider"</formula>
    </cfRule>
  </conditionalFormatting>
  <conditionalFormatting sqref="K20">
    <cfRule type="expression" dxfId="73" priority="64">
      <formula>LEFT(K20,4)="Hold"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8"/>
  <sheetViews>
    <sheetView workbookViewId="0">
      <selection activeCell="F69" sqref="F69"/>
    </sheetView>
  </sheetViews>
  <sheetFormatPr defaultRowHeight="13.5"/>
  <cols>
    <col min="1" max="1" width="24" customWidth="1"/>
    <col min="2" max="3" width="13" customWidth="1"/>
    <col min="4" max="4" width="24" customWidth="1"/>
    <col min="5" max="5" width="12" customWidth="1"/>
    <col min="6" max="6" width="13" customWidth="1"/>
    <col min="7" max="7" width="15" customWidth="1"/>
    <col min="8" max="9" width="13" customWidth="1"/>
    <col min="10" max="10" width="12" customWidth="1"/>
    <col min="11" max="11" width="42" customWidth="1"/>
    <col min="13" max="13" width="30" customWidth="1"/>
    <col min="14" max="14" width="13" customWidth="1"/>
  </cols>
  <sheetData>
    <row r="1" spans="1:14" ht="20.65">
      <c r="A1" s="128" t="s">
        <v>522</v>
      </c>
      <c r="B1" s="128"/>
      <c r="C1" s="128"/>
      <c r="D1" s="128"/>
      <c r="E1" s="128"/>
      <c r="F1" s="128"/>
      <c r="G1" s="128"/>
      <c r="H1" s="128"/>
    </row>
    <row r="2" spans="1:14" ht="13.9">
      <c r="A2" s="129" t="s">
        <v>523</v>
      </c>
      <c r="B2" s="129"/>
      <c r="C2" s="129"/>
      <c r="D2" s="129"/>
      <c r="E2" s="129"/>
      <c r="F2" s="129"/>
      <c r="G2" s="129"/>
      <c r="H2" s="129"/>
    </row>
    <row r="4" spans="1:14" ht="13.9">
      <c r="A4" s="61" t="s">
        <v>524</v>
      </c>
      <c r="B4" s="61" t="s">
        <v>525</v>
      </c>
      <c r="C4" s="61" t="s">
        <v>526</v>
      </c>
      <c r="D4" s="61" t="s">
        <v>527</v>
      </c>
      <c r="E4" s="61" t="s">
        <v>417</v>
      </c>
      <c r="F4" s="61" t="s">
        <v>528</v>
      </c>
      <c r="G4" s="61" t="s">
        <v>529</v>
      </c>
      <c r="H4" s="61" t="s">
        <v>530</v>
      </c>
      <c r="I4" s="65" t="s">
        <v>531</v>
      </c>
      <c r="J4" s="65" t="s">
        <v>532</v>
      </c>
      <c r="K4" s="65" t="s">
        <v>533</v>
      </c>
      <c r="M4" s="67" t="s">
        <v>534</v>
      </c>
      <c r="N4" s="67" t="s">
        <v>20</v>
      </c>
    </row>
    <row r="5" spans="1:14">
      <c r="A5" t="s">
        <v>144</v>
      </c>
      <c r="B5" t="s">
        <v>121</v>
      </c>
      <c r="C5" t="s">
        <v>107</v>
      </c>
      <c r="D5" t="s">
        <v>144</v>
      </c>
      <c r="E5">
        <v>2</v>
      </c>
      <c r="F5">
        <f t="shared" ref="F5:F36" si="0">IF(B5="Player",ROUND(10000/(1+0.035*(E5-1)^1.25),0),IF(B5="2026 Pick",IF(VALUE(LEFT(D5,4))=2026,IF(VALUE(MID(D5,6,FIND(".",D5)-6))=1,8600-(VALUE(RIGHT(D5,2))-1)*650,IF(VALUE(MID(D5,6,FIND(".",D5)-6))=2,5000-(VALUE(RIGHT(D5,2))-1)*250,IF(VALUE(MID(D5,6,FIND(".",D5)-6))=3,3000-(VALUE(RIGHT(D5,2))-1)*140,MAX(500,2100-(VALUE(MID(D5,6,FIND(".",D5)-6))-4)*250-(VALUE(RIGHT(D5,2))-1)*35)))),0),IF(B5="Future Pick",IF(RIGHT(D5,1)="1",IF(LEFT(D5,4)="2027",6200,5000),IF(RIGHT(D5,1)="2",IF(LEFT(D5,4)="2027",3000,2400),IF(LEFT(D5,4)="2027",1500,1200))),0)))</f>
        <v>9662</v>
      </c>
      <c r="G5" s="59"/>
      <c r="H5">
        <f t="shared" ref="H5:H36" si="1">IF(G5&lt;&gt;"",G5,ROUND(F5*(1+J5),0))</f>
        <v>9662</v>
      </c>
      <c r="I5" s="66" t="s">
        <v>535</v>
      </c>
      <c r="J5" s="69">
        <f t="shared" ref="J5:J36" si="2">IF(I5="Taxi",$N$5,0)</f>
        <v>0</v>
      </c>
      <c r="K5" t="str">
        <f t="shared" ref="K5:K36" si="3">IF(I5="Taxi","Taxi asset receives a small boost and a reduced slot penalty.",IF(I5="Regular","Occupies a regular keeper slot.","Picks do not trigger consolidation or slot penalties."))</f>
        <v>Occupies a regular keeper slot.</v>
      </c>
      <c r="M5" t="s">
        <v>536</v>
      </c>
      <c r="N5" s="68">
        <v>0.06</v>
      </c>
    </row>
    <row r="6" spans="1:14">
      <c r="A6" t="s">
        <v>153</v>
      </c>
      <c r="B6" t="s">
        <v>121</v>
      </c>
      <c r="C6" t="s">
        <v>98</v>
      </c>
      <c r="D6" t="s">
        <v>153</v>
      </c>
      <c r="E6">
        <v>3</v>
      </c>
      <c r="F6">
        <f t="shared" si="0"/>
        <v>9232</v>
      </c>
      <c r="G6" s="59"/>
      <c r="H6">
        <f t="shared" si="1"/>
        <v>9232</v>
      </c>
      <c r="I6" s="66" t="s">
        <v>535</v>
      </c>
      <c r="J6" s="69">
        <f t="shared" si="2"/>
        <v>0</v>
      </c>
      <c r="K6" t="str">
        <f t="shared" si="3"/>
        <v>Occupies a regular keeper slot.</v>
      </c>
      <c r="M6" t="s">
        <v>537</v>
      </c>
      <c r="N6" s="68">
        <v>0.35</v>
      </c>
    </row>
    <row r="7" spans="1:14">
      <c r="A7" t="s">
        <v>155</v>
      </c>
      <c r="B7" t="s">
        <v>121</v>
      </c>
      <c r="C7" t="s">
        <v>1</v>
      </c>
      <c r="D7" t="s">
        <v>155</v>
      </c>
      <c r="E7">
        <v>1</v>
      </c>
      <c r="F7">
        <f t="shared" si="0"/>
        <v>10000</v>
      </c>
      <c r="G7" s="59"/>
      <c r="H7">
        <f t="shared" si="1"/>
        <v>10000</v>
      </c>
      <c r="I7" s="66" t="s">
        <v>535</v>
      </c>
      <c r="J7" s="69">
        <f t="shared" si="2"/>
        <v>0</v>
      </c>
      <c r="K7" t="str">
        <f t="shared" si="3"/>
        <v>Occupies a regular keeper slot.</v>
      </c>
      <c r="M7" t="s">
        <v>538</v>
      </c>
      <c r="N7" s="68">
        <v>0.45</v>
      </c>
    </row>
    <row r="8" spans="1:14">
      <c r="A8" t="s">
        <v>13</v>
      </c>
      <c r="B8" t="s">
        <v>121</v>
      </c>
      <c r="C8" t="s">
        <v>2</v>
      </c>
      <c r="D8" t="s">
        <v>13</v>
      </c>
      <c r="E8">
        <v>6</v>
      </c>
      <c r="F8">
        <f t="shared" si="0"/>
        <v>7926</v>
      </c>
      <c r="G8" s="59"/>
      <c r="H8">
        <f t="shared" si="1"/>
        <v>7926</v>
      </c>
      <c r="I8" s="66" t="s">
        <v>535</v>
      </c>
      <c r="J8" s="69">
        <f t="shared" si="2"/>
        <v>0</v>
      </c>
      <c r="K8" t="str">
        <f t="shared" si="3"/>
        <v>Occupies a regular keeper slot.</v>
      </c>
      <c r="M8" t="s">
        <v>539</v>
      </c>
      <c r="N8" s="68">
        <v>0.12</v>
      </c>
    </row>
    <row r="9" spans="1:14">
      <c r="A9" t="s">
        <v>157</v>
      </c>
      <c r="B9" t="s">
        <v>121</v>
      </c>
      <c r="C9" t="s">
        <v>1</v>
      </c>
      <c r="D9" t="s">
        <v>157</v>
      </c>
      <c r="E9">
        <v>4</v>
      </c>
      <c r="F9">
        <f t="shared" si="0"/>
        <v>8786</v>
      </c>
      <c r="G9" s="59"/>
      <c r="H9">
        <f t="shared" si="1"/>
        <v>8786</v>
      </c>
      <c r="I9" s="66" t="s">
        <v>535</v>
      </c>
      <c r="J9" s="69">
        <f t="shared" si="2"/>
        <v>0</v>
      </c>
      <c r="K9" t="str">
        <f t="shared" si="3"/>
        <v>Occupies a regular keeper slot.</v>
      </c>
      <c r="M9" t="s">
        <v>540</v>
      </c>
      <c r="N9" s="68">
        <v>0.04</v>
      </c>
    </row>
    <row r="10" spans="1:14">
      <c r="A10" t="s">
        <v>158</v>
      </c>
      <c r="B10" t="s">
        <v>121</v>
      </c>
      <c r="C10" t="s">
        <v>107</v>
      </c>
      <c r="D10" t="s">
        <v>158</v>
      </c>
      <c r="E10">
        <v>14</v>
      </c>
      <c r="F10">
        <f t="shared" si="0"/>
        <v>5365</v>
      </c>
      <c r="G10" s="59"/>
      <c r="H10">
        <f t="shared" si="1"/>
        <v>5365</v>
      </c>
      <c r="I10" s="66" t="s">
        <v>535</v>
      </c>
      <c r="J10" s="69">
        <f t="shared" si="2"/>
        <v>0</v>
      </c>
      <c r="K10" t="str">
        <f t="shared" si="3"/>
        <v>Occupies a regular keeper slot.</v>
      </c>
      <c r="M10" t="s">
        <v>541</v>
      </c>
      <c r="N10" s="68">
        <v>0.05</v>
      </c>
    </row>
    <row r="11" spans="1:14">
      <c r="A11" t="s">
        <v>160</v>
      </c>
      <c r="B11" t="s">
        <v>121</v>
      </c>
      <c r="C11" t="s">
        <v>110</v>
      </c>
      <c r="D11" t="s">
        <v>160</v>
      </c>
      <c r="E11">
        <v>5</v>
      </c>
      <c r="F11">
        <f t="shared" si="0"/>
        <v>8347</v>
      </c>
      <c r="G11" s="59"/>
      <c r="H11">
        <f t="shared" si="1"/>
        <v>8347</v>
      </c>
      <c r="I11" s="66" t="s">
        <v>535</v>
      </c>
      <c r="J11" s="69">
        <f t="shared" si="2"/>
        <v>0</v>
      </c>
      <c r="K11" t="str">
        <f t="shared" si="3"/>
        <v>Occupies a regular keeper slot.</v>
      </c>
      <c r="M11" t="s">
        <v>542</v>
      </c>
      <c r="N11" s="68">
        <v>0.15</v>
      </c>
    </row>
    <row r="12" spans="1:14">
      <c r="A12" t="s">
        <v>161</v>
      </c>
      <c r="B12" t="s">
        <v>121</v>
      </c>
      <c r="C12" t="s">
        <v>110</v>
      </c>
      <c r="D12" t="s">
        <v>161</v>
      </c>
      <c r="E12">
        <v>8</v>
      </c>
      <c r="F12">
        <f t="shared" si="0"/>
        <v>7150</v>
      </c>
      <c r="G12" s="59"/>
      <c r="H12">
        <f t="shared" si="1"/>
        <v>7150</v>
      </c>
      <c r="I12" s="66" t="s">
        <v>535</v>
      </c>
      <c r="J12" s="69">
        <f t="shared" si="2"/>
        <v>0</v>
      </c>
      <c r="K12" t="str">
        <f t="shared" si="3"/>
        <v>Occupies a regular keeper slot.</v>
      </c>
    </row>
    <row r="13" spans="1:14">
      <c r="A13" t="s">
        <v>162</v>
      </c>
      <c r="B13" t="s">
        <v>121</v>
      </c>
      <c r="C13" t="s">
        <v>104</v>
      </c>
      <c r="D13" t="s">
        <v>162</v>
      </c>
      <c r="E13">
        <v>16</v>
      </c>
      <c r="F13">
        <f t="shared" si="0"/>
        <v>4918</v>
      </c>
      <c r="G13" s="59"/>
      <c r="H13">
        <f t="shared" si="1"/>
        <v>4918</v>
      </c>
      <c r="I13" s="66" t="s">
        <v>535</v>
      </c>
      <c r="J13" s="69">
        <f t="shared" si="2"/>
        <v>0</v>
      </c>
      <c r="K13" t="str">
        <f t="shared" si="3"/>
        <v>Occupies a regular keeper slot.</v>
      </c>
    </row>
    <row r="14" spans="1:14">
      <c r="A14" t="s">
        <v>164</v>
      </c>
      <c r="B14" t="s">
        <v>121</v>
      </c>
      <c r="C14" t="s">
        <v>1</v>
      </c>
      <c r="D14" t="s">
        <v>164</v>
      </c>
      <c r="E14">
        <v>7</v>
      </c>
      <c r="F14">
        <f t="shared" si="0"/>
        <v>7526</v>
      </c>
      <c r="G14" s="59"/>
      <c r="H14">
        <f t="shared" si="1"/>
        <v>7526</v>
      </c>
      <c r="I14" s="66" t="s">
        <v>535</v>
      </c>
      <c r="J14" s="69">
        <f t="shared" si="2"/>
        <v>0</v>
      </c>
      <c r="K14" t="str">
        <f t="shared" si="3"/>
        <v>Occupies a regular keeper slot.</v>
      </c>
    </row>
    <row r="15" spans="1:14">
      <c r="A15" t="s">
        <v>165</v>
      </c>
      <c r="B15" t="s">
        <v>121</v>
      </c>
      <c r="C15" t="s">
        <v>1</v>
      </c>
      <c r="D15" t="s">
        <v>165</v>
      </c>
      <c r="E15">
        <v>12</v>
      </c>
      <c r="F15">
        <f t="shared" si="0"/>
        <v>5878</v>
      </c>
      <c r="G15" s="59"/>
      <c r="H15">
        <f t="shared" si="1"/>
        <v>6231</v>
      </c>
      <c r="I15" s="66" t="s">
        <v>477</v>
      </c>
      <c r="J15" s="69">
        <f t="shared" si="2"/>
        <v>0.06</v>
      </c>
      <c r="K15" t="str">
        <f t="shared" si="3"/>
        <v>Taxi asset receives a small boost and a reduced slot penalty.</v>
      </c>
    </row>
    <row r="16" spans="1:14">
      <c r="A16" t="s">
        <v>166</v>
      </c>
      <c r="B16" t="s">
        <v>121</v>
      </c>
      <c r="C16" t="s">
        <v>101</v>
      </c>
      <c r="D16" t="s">
        <v>166</v>
      </c>
      <c r="E16">
        <v>13</v>
      </c>
      <c r="F16">
        <f t="shared" si="0"/>
        <v>5613</v>
      </c>
      <c r="G16" s="59"/>
      <c r="H16">
        <f t="shared" si="1"/>
        <v>5613</v>
      </c>
      <c r="I16" s="66" t="s">
        <v>535</v>
      </c>
      <c r="J16" s="69">
        <f t="shared" si="2"/>
        <v>0</v>
      </c>
      <c r="K16" t="str">
        <f t="shared" si="3"/>
        <v>Occupies a regular keeper slot.</v>
      </c>
    </row>
    <row r="17" spans="1:11">
      <c r="A17" t="s">
        <v>167</v>
      </c>
      <c r="B17" t="s">
        <v>121</v>
      </c>
      <c r="C17" t="s">
        <v>98</v>
      </c>
      <c r="D17" t="s">
        <v>167</v>
      </c>
      <c r="E17">
        <v>11</v>
      </c>
      <c r="F17">
        <f t="shared" si="0"/>
        <v>6164</v>
      </c>
      <c r="G17" s="59"/>
      <c r="H17">
        <f t="shared" si="1"/>
        <v>6164</v>
      </c>
      <c r="I17" s="66" t="s">
        <v>535</v>
      </c>
      <c r="J17" s="69">
        <f t="shared" si="2"/>
        <v>0</v>
      </c>
      <c r="K17" t="str">
        <f t="shared" si="3"/>
        <v>Occupies a regular keeper slot.</v>
      </c>
    </row>
    <row r="18" spans="1:11">
      <c r="A18" t="s">
        <v>169</v>
      </c>
      <c r="B18" t="s">
        <v>121</v>
      </c>
      <c r="C18" t="s">
        <v>104</v>
      </c>
      <c r="D18" t="s">
        <v>169</v>
      </c>
      <c r="E18">
        <v>18</v>
      </c>
      <c r="F18">
        <f t="shared" si="0"/>
        <v>4529</v>
      </c>
      <c r="G18" s="59"/>
      <c r="H18">
        <f t="shared" si="1"/>
        <v>4529</v>
      </c>
      <c r="I18" s="66" t="s">
        <v>535</v>
      </c>
      <c r="J18" s="69">
        <f t="shared" si="2"/>
        <v>0</v>
      </c>
      <c r="K18" t="str">
        <f t="shared" si="3"/>
        <v>Occupies a regular keeper slot.</v>
      </c>
    </row>
    <row r="19" spans="1:11">
      <c r="A19" t="s">
        <v>175</v>
      </c>
      <c r="B19" t="s">
        <v>121</v>
      </c>
      <c r="C19" t="s">
        <v>1</v>
      </c>
      <c r="D19" t="s">
        <v>175</v>
      </c>
      <c r="E19">
        <v>10</v>
      </c>
      <c r="F19">
        <f t="shared" si="0"/>
        <v>6470</v>
      </c>
      <c r="G19" s="59"/>
      <c r="H19">
        <f t="shared" si="1"/>
        <v>6470</v>
      </c>
      <c r="I19" s="66" t="s">
        <v>535</v>
      </c>
      <c r="J19" s="69">
        <f t="shared" si="2"/>
        <v>0</v>
      </c>
      <c r="K19" t="str">
        <f t="shared" si="3"/>
        <v>Occupies a regular keeper slot.</v>
      </c>
    </row>
    <row r="20" spans="1:11">
      <c r="A20" t="s">
        <v>15</v>
      </c>
      <c r="B20" t="s">
        <v>121</v>
      </c>
      <c r="C20" t="s">
        <v>2</v>
      </c>
      <c r="D20" t="s">
        <v>15</v>
      </c>
      <c r="E20">
        <v>21</v>
      </c>
      <c r="F20">
        <f t="shared" si="0"/>
        <v>4032</v>
      </c>
      <c r="G20" s="59"/>
      <c r="H20">
        <f t="shared" si="1"/>
        <v>4032</v>
      </c>
      <c r="I20" s="66" t="s">
        <v>535</v>
      </c>
      <c r="J20" s="69">
        <f t="shared" si="2"/>
        <v>0</v>
      </c>
      <c r="K20" t="str">
        <f t="shared" si="3"/>
        <v>Occupies a regular keeper slot.</v>
      </c>
    </row>
    <row r="21" spans="1:11">
      <c r="A21" t="s">
        <v>177</v>
      </c>
      <c r="B21" t="s">
        <v>121</v>
      </c>
      <c r="C21" t="s">
        <v>107</v>
      </c>
      <c r="D21" t="s">
        <v>177</v>
      </c>
      <c r="E21">
        <v>17</v>
      </c>
      <c r="F21">
        <f t="shared" si="0"/>
        <v>4717</v>
      </c>
      <c r="G21" s="59"/>
      <c r="H21">
        <f t="shared" si="1"/>
        <v>4717</v>
      </c>
      <c r="I21" s="66" t="s">
        <v>535</v>
      </c>
      <c r="J21" s="69">
        <f t="shared" si="2"/>
        <v>0</v>
      </c>
      <c r="K21" t="str">
        <f t="shared" si="3"/>
        <v>Occupies a regular keeper slot.</v>
      </c>
    </row>
    <row r="22" spans="1:11">
      <c r="A22" t="s">
        <v>178</v>
      </c>
      <c r="B22" t="s">
        <v>121</v>
      </c>
      <c r="C22" t="s">
        <v>107</v>
      </c>
      <c r="D22" t="s">
        <v>178</v>
      </c>
      <c r="E22">
        <v>9</v>
      </c>
      <c r="F22">
        <f t="shared" si="0"/>
        <v>6799</v>
      </c>
      <c r="G22" s="59"/>
      <c r="H22">
        <f t="shared" si="1"/>
        <v>6799</v>
      </c>
      <c r="I22" s="66" t="s">
        <v>535</v>
      </c>
      <c r="J22" s="69">
        <f t="shared" si="2"/>
        <v>0</v>
      </c>
      <c r="K22" t="str">
        <f t="shared" si="3"/>
        <v>Occupies a regular keeper slot.</v>
      </c>
    </row>
    <row r="23" spans="1:11">
      <c r="A23" t="s">
        <v>7</v>
      </c>
      <c r="B23" t="s">
        <v>121</v>
      </c>
      <c r="C23" t="s">
        <v>3</v>
      </c>
      <c r="D23" t="s">
        <v>7</v>
      </c>
      <c r="E23">
        <v>20</v>
      </c>
      <c r="F23">
        <f t="shared" si="0"/>
        <v>4187</v>
      </c>
      <c r="G23" s="59"/>
      <c r="H23">
        <f t="shared" si="1"/>
        <v>4187</v>
      </c>
      <c r="I23" s="66" t="s">
        <v>535</v>
      </c>
      <c r="J23" s="69">
        <f t="shared" si="2"/>
        <v>0</v>
      </c>
      <c r="K23" t="str">
        <f t="shared" si="3"/>
        <v>Occupies a regular keeper slot.</v>
      </c>
    </row>
    <row r="24" spans="1:11">
      <c r="A24" t="s">
        <v>180</v>
      </c>
      <c r="B24" t="s">
        <v>121</v>
      </c>
      <c r="C24" t="s">
        <v>101</v>
      </c>
      <c r="D24" t="s">
        <v>180</v>
      </c>
      <c r="E24">
        <v>19</v>
      </c>
      <c r="F24">
        <f t="shared" si="0"/>
        <v>4352</v>
      </c>
      <c r="G24" s="59"/>
      <c r="H24">
        <f t="shared" si="1"/>
        <v>4352</v>
      </c>
      <c r="I24" s="66" t="s">
        <v>535</v>
      </c>
      <c r="J24" s="69">
        <f t="shared" si="2"/>
        <v>0</v>
      </c>
      <c r="K24" t="str">
        <f t="shared" si="3"/>
        <v>Occupies a regular keeper slot.</v>
      </c>
    </row>
    <row r="25" spans="1:11">
      <c r="A25" t="s">
        <v>181</v>
      </c>
      <c r="B25" t="s">
        <v>121</v>
      </c>
      <c r="C25" t="s">
        <v>110</v>
      </c>
      <c r="D25" t="s">
        <v>181</v>
      </c>
      <c r="E25">
        <v>15</v>
      </c>
      <c r="F25">
        <f t="shared" si="0"/>
        <v>5134</v>
      </c>
      <c r="G25" s="59"/>
      <c r="H25">
        <f t="shared" si="1"/>
        <v>5442</v>
      </c>
      <c r="I25" s="66" t="s">
        <v>477</v>
      </c>
      <c r="J25" s="69">
        <f t="shared" si="2"/>
        <v>0.06</v>
      </c>
      <c r="K25" t="str">
        <f t="shared" si="3"/>
        <v>Taxi asset receives a small boost and a reduced slot penalty.</v>
      </c>
    </row>
    <row r="26" spans="1:11">
      <c r="A26" t="s">
        <v>16</v>
      </c>
      <c r="B26" t="s">
        <v>121</v>
      </c>
      <c r="C26" t="s">
        <v>2</v>
      </c>
      <c r="D26" t="s">
        <v>16</v>
      </c>
      <c r="E26">
        <v>30</v>
      </c>
      <c r="F26">
        <f t="shared" si="0"/>
        <v>2980</v>
      </c>
      <c r="G26" s="59"/>
      <c r="H26">
        <f t="shared" si="1"/>
        <v>2980</v>
      </c>
      <c r="I26" s="66" t="s">
        <v>535</v>
      </c>
      <c r="J26" s="69">
        <f t="shared" si="2"/>
        <v>0</v>
      </c>
      <c r="K26" t="str">
        <f t="shared" si="3"/>
        <v>Occupies a regular keeper slot.</v>
      </c>
    </row>
    <row r="27" spans="1:11">
      <c r="A27" t="s">
        <v>183</v>
      </c>
      <c r="B27" t="s">
        <v>121</v>
      </c>
      <c r="C27" t="s">
        <v>107</v>
      </c>
      <c r="D27" t="s">
        <v>183</v>
      </c>
      <c r="E27">
        <v>23</v>
      </c>
      <c r="F27">
        <f t="shared" si="0"/>
        <v>3749</v>
      </c>
      <c r="G27" s="59"/>
      <c r="H27">
        <f t="shared" si="1"/>
        <v>3749</v>
      </c>
      <c r="I27" s="66" t="s">
        <v>535</v>
      </c>
      <c r="J27" s="69">
        <f t="shared" si="2"/>
        <v>0</v>
      </c>
      <c r="K27" t="str">
        <f t="shared" si="3"/>
        <v>Occupies a regular keeper slot.</v>
      </c>
    </row>
    <row r="28" spans="1:11">
      <c r="A28" t="s">
        <v>185</v>
      </c>
      <c r="B28" t="s">
        <v>121</v>
      </c>
      <c r="C28" t="s">
        <v>1</v>
      </c>
      <c r="D28" t="s">
        <v>185</v>
      </c>
      <c r="E28">
        <v>22</v>
      </c>
      <c r="F28">
        <f t="shared" si="0"/>
        <v>3886</v>
      </c>
      <c r="G28" s="59"/>
      <c r="H28">
        <f t="shared" si="1"/>
        <v>3886</v>
      </c>
      <c r="I28" s="66" t="s">
        <v>535</v>
      </c>
      <c r="J28" s="69">
        <f t="shared" si="2"/>
        <v>0</v>
      </c>
      <c r="K28" t="str">
        <f t="shared" si="3"/>
        <v>Occupies a regular keeper slot.</v>
      </c>
    </row>
    <row r="29" spans="1:11">
      <c r="A29" t="s">
        <v>186</v>
      </c>
      <c r="B29" t="s">
        <v>121</v>
      </c>
      <c r="C29" t="s">
        <v>110</v>
      </c>
      <c r="D29" t="s">
        <v>186</v>
      </c>
      <c r="E29">
        <v>39</v>
      </c>
      <c r="F29">
        <f t="shared" si="0"/>
        <v>2324</v>
      </c>
      <c r="G29" s="59"/>
      <c r="H29">
        <f t="shared" si="1"/>
        <v>2324</v>
      </c>
      <c r="I29" s="66" t="s">
        <v>535</v>
      </c>
      <c r="J29" s="69">
        <f t="shared" si="2"/>
        <v>0</v>
      </c>
      <c r="K29" t="str">
        <f t="shared" si="3"/>
        <v>Occupies a regular keeper slot.</v>
      </c>
    </row>
    <row r="30" spans="1:11">
      <c r="A30" t="s">
        <v>187</v>
      </c>
      <c r="B30" t="s">
        <v>121</v>
      </c>
      <c r="C30" t="s">
        <v>98</v>
      </c>
      <c r="D30" t="s">
        <v>187</v>
      </c>
      <c r="E30">
        <v>44</v>
      </c>
      <c r="F30">
        <f t="shared" si="0"/>
        <v>2060</v>
      </c>
      <c r="G30" s="59"/>
      <c r="H30">
        <f t="shared" si="1"/>
        <v>2060</v>
      </c>
      <c r="I30" s="66" t="s">
        <v>535</v>
      </c>
      <c r="J30" s="69">
        <f t="shared" si="2"/>
        <v>0</v>
      </c>
      <c r="K30" t="str">
        <f t="shared" si="3"/>
        <v>Occupies a regular keeper slot.</v>
      </c>
    </row>
    <row r="31" spans="1:11">
      <c r="A31" t="s">
        <v>17</v>
      </c>
      <c r="B31" t="s">
        <v>121</v>
      </c>
      <c r="C31" t="s">
        <v>2</v>
      </c>
      <c r="D31" t="s">
        <v>17</v>
      </c>
      <c r="E31">
        <v>37</v>
      </c>
      <c r="F31">
        <f t="shared" si="0"/>
        <v>2447</v>
      </c>
      <c r="G31" s="59"/>
      <c r="H31">
        <f t="shared" si="1"/>
        <v>2447</v>
      </c>
      <c r="I31" s="66" t="s">
        <v>535</v>
      </c>
      <c r="J31" s="69">
        <f t="shared" si="2"/>
        <v>0</v>
      </c>
      <c r="K31" t="str">
        <f t="shared" si="3"/>
        <v>Occupies a regular keeper slot.</v>
      </c>
    </row>
    <row r="32" spans="1:11">
      <c r="A32" t="s">
        <v>189</v>
      </c>
      <c r="B32" t="s">
        <v>121</v>
      </c>
      <c r="C32" t="s">
        <v>107</v>
      </c>
      <c r="D32" t="s">
        <v>189</v>
      </c>
      <c r="E32">
        <v>27</v>
      </c>
      <c r="F32">
        <f t="shared" si="0"/>
        <v>3273</v>
      </c>
      <c r="G32" s="59"/>
      <c r="H32">
        <f t="shared" si="1"/>
        <v>3273</v>
      </c>
      <c r="I32" s="66" t="s">
        <v>535</v>
      </c>
      <c r="J32" s="69">
        <f t="shared" si="2"/>
        <v>0</v>
      </c>
      <c r="K32" t="str">
        <f t="shared" si="3"/>
        <v>Occupies a regular keeper slot.</v>
      </c>
    </row>
    <row r="33" spans="1:11">
      <c r="A33" t="s">
        <v>190</v>
      </c>
      <c r="B33" t="s">
        <v>121</v>
      </c>
      <c r="C33" t="s">
        <v>104</v>
      </c>
      <c r="D33" t="s">
        <v>190</v>
      </c>
      <c r="E33">
        <v>28</v>
      </c>
      <c r="F33">
        <f t="shared" si="0"/>
        <v>3170</v>
      </c>
      <c r="G33" s="59"/>
      <c r="H33">
        <f t="shared" si="1"/>
        <v>3170</v>
      </c>
      <c r="I33" s="66" t="s">
        <v>535</v>
      </c>
      <c r="J33" s="69">
        <f t="shared" si="2"/>
        <v>0</v>
      </c>
      <c r="K33" t="str">
        <f t="shared" si="3"/>
        <v>Occupies a regular keeper slot.</v>
      </c>
    </row>
    <row r="34" spans="1:11">
      <c r="A34" t="s">
        <v>191</v>
      </c>
      <c r="B34" t="s">
        <v>121</v>
      </c>
      <c r="C34" t="s">
        <v>104</v>
      </c>
      <c r="D34" t="s">
        <v>191</v>
      </c>
      <c r="E34">
        <v>25</v>
      </c>
      <c r="F34">
        <f t="shared" si="0"/>
        <v>3497</v>
      </c>
      <c r="G34" s="59"/>
      <c r="H34">
        <f t="shared" si="1"/>
        <v>3497</v>
      </c>
      <c r="I34" s="66" t="s">
        <v>535</v>
      </c>
      <c r="J34" s="69">
        <f t="shared" si="2"/>
        <v>0</v>
      </c>
      <c r="K34" t="str">
        <f t="shared" si="3"/>
        <v>Occupies a regular keeper slot.</v>
      </c>
    </row>
    <row r="35" spans="1:11">
      <c r="A35" t="s">
        <v>192</v>
      </c>
      <c r="B35" t="s">
        <v>121</v>
      </c>
      <c r="C35" t="s">
        <v>110</v>
      </c>
      <c r="D35" t="s">
        <v>192</v>
      </c>
      <c r="E35">
        <v>26</v>
      </c>
      <c r="F35">
        <f t="shared" si="0"/>
        <v>3382</v>
      </c>
      <c r="G35" s="59"/>
      <c r="H35">
        <f t="shared" si="1"/>
        <v>3382</v>
      </c>
      <c r="I35" s="66" t="s">
        <v>535</v>
      </c>
      <c r="J35" s="69">
        <f t="shared" si="2"/>
        <v>0</v>
      </c>
      <c r="K35" t="str">
        <f t="shared" si="3"/>
        <v>Occupies a regular keeper slot.</v>
      </c>
    </row>
    <row r="36" spans="1:11">
      <c r="A36" t="s">
        <v>193</v>
      </c>
      <c r="B36" t="s">
        <v>121</v>
      </c>
      <c r="C36" t="s">
        <v>107</v>
      </c>
      <c r="D36" t="s">
        <v>193</v>
      </c>
      <c r="E36">
        <v>29</v>
      </c>
      <c r="F36">
        <f t="shared" si="0"/>
        <v>3073</v>
      </c>
      <c r="G36" s="59"/>
      <c r="H36">
        <f t="shared" si="1"/>
        <v>3073</v>
      </c>
      <c r="I36" s="66" t="s">
        <v>535</v>
      </c>
      <c r="J36" s="69">
        <f t="shared" si="2"/>
        <v>0</v>
      </c>
      <c r="K36" t="str">
        <f t="shared" si="3"/>
        <v>Occupies a regular keeper slot.</v>
      </c>
    </row>
    <row r="37" spans="1:11">
      <c r="A37" t="s">
        <v>4</v>
      </c>
      <c r="B37" t="s">
        <v>121</v>
      </c>
      <c r="C37" t="s">
        <v>3</v>
      </c>
      <c r="D37" t="s">
        <v>4</v>
      </c>
      <c r="E37">
        <v>41</v>
      </c>
      <c r="F37">
        <f t="shared" ref="F37:F68" si="4">IF(B37="Player",ROUND(10000/(1+0.035*(E37-1)^1.25),0),IF(B37="2026 Pick",IF(VALUE(LEFT(D37,4))=2026,IF(VALUE(MID(D37,6,FIND(".",D37)-6))=1,8600-(VALUE(RIGHT(D37,2))-1)*650,IF(VALUE(MID(D37,6,FIND(".",D37)-6))=2,5000-(VALUE(RIGHT(D37,2))-1)*250,IF(VALUE(MID(D37,6,FIND(".",D37)-6))=3,3000-(VALUE(RIGHT(D37,2))-1)*140,MAX(500,2100-(VALUE(MID(D37,6,FIND(".",D37)-6))-4)*250-(VALUE(RIGHT(D37,2))-1)*35)))),0),IF(B37="Future Pick",IF(RIGHT(D37,1)="1",IF(LEFT(D37,4)="2027",6200,5000),IF(RIGHT(D37,1)="2",IF(LEFT(D37,4)="2027",3000,2400),IF(LEFT(D37,4)="2027",1500,1200))),0)))</f>
        <v>2212</v>
      </c>
      <c r="G37" s="59"/>
      <c r="H37">
        <f t="shared" ref="H37:H68" si="5">IF(G37&lt;&gt;"",G37,ROUND(F37*(1+J37),0))</f>
        <v>2212</v>
      </c>
      <c r="I37" s="66" t="s">
        <v>535</v>
      </c>
      <c r="J37" s="69">
        <f t="shared" ref="J37:J68" si="6">IF(I37="Taxi",$N$5,0)</f>
        <v>0</v>
      </c>
      <c r="K37" t="str">
        <f t="shared" ref="K37:K68" si="7">IF(I37="Taxi","Taxi asset receives a small boost and a reduced slot penalty.",IF(I37="Regular","Occupies a regular keeper slot.","Picks do not trigger consolidation or slot penalties."))</f>
        <v>Occupies a regular keeper slot.</v>
      </c>
    </row>
    <row r="38" spans="1:11">
      <c r="A38" t="s">
        <v>195</v>
      </c>
      <c r="B38" t="s">
        <v>121</v>
      </c>
      <c r="C38" t="s">
        <v>104</v>
      </c>
      <c r="D38" t="s">
        <v>195</v>
      </c>
      <c r="E38">
        <v>40</v>
      </c>
      <c r="F38">
        <f t="shared" si="4"/>
        <v>2267</v>
      </c>
      <c r="G38" s="59"/>
      <c r="H38">
        <f t="shared" si="5"/>
        <v>2267</v>
      </c>
      <c r="I38" s="66" t="s">
        <v>535</v>
      </c>
      <c r="J38" s="69">
        <f t="shared" si="6"/>
        <v>0</v>
      </c>
      <c r="K38" t="str">
        <f t="shared" si="7"/>
        <v>Occupies a regular keeper slot.</v>
      </c>
    </row>
    <row r="39" spans="1:11">
      <c r="A39" t="s">
        <v>198</v>
      </c>
      <c r="B39" t="s">
        <v>121</v>
      </c>
      <c r="C39" t="s">
        <v>98</v>
      </c>
      <c r="D39" t="s">
        <v>198</v>
      </c>
      <c r="E39">
        <v>38</v>
      </c>
      <c r="F39">
        <f t="shared" si="4"/>
        <v>2384</v>
      </c>
      <c r="G39" s="59"/>
      <c r="H39">
        <f t="shared" si="5"/>
        <v>2384</v>
      </c>
      <c r="I39" s="66" t="s">
        <v>535</v>
      </c>
      <c r="J39" s="69">
        <f t="shared" si="6"/>
        <v>0</v>
      </c>
      <c r="K39" t="str">
        <f t="shared" si="7"/>
        <v>Occupies a regular keeper slot.</v>
      </c>
    </row>
    <row r="40" spans="1:11">
      <c r="A40" t="s">
        <v>199</v>
      </c>
      <c r="B40" t="s">
        <v>121</v>
      </c>
      <c r="C40" t="s">
        <v>101</v>
      </c>
      <c r="D40" t="s">
        <v>199</v>
      </c>
      <c r="E40">
        <v>32</v>
      </c>
      <c r="F40">
        <f t="shared" si="4"/>
        <v>2809</v>
      </c>
      <c r="G40" s="59"/>
      <c r="H40">
        <f t="shared" si="5"/>
        <v>2809</v>
      </c>
      <c r="I40" s="66" t="s">
        <v>535</v>
      </c>
      <c r="J40" s="69">
        <f t="shared" si="6"/>
        <v>0</v>
      </c>
      <c r="K40" t="str">
        <f t="shared" si="7"/>
        <v>Occupies a regular keeper slot.</v>
      </c>
    </row>
    <row r="41" spans="1:11">
      <c r="A41" t="s">
        <v>9</v>
      </c>
      <c r="B41" t="s">
        <v>121</v>
      </c>
      <c r="C41" t="s">
        <v>3</v>
      </c>
      <c r="D41" t="s">
        <v>9</v>
      </c>
      <c r="E41">
        <v>33</v>
      </c>
      <c r="F41">
        <f t="shared" si="4"/>
        <v>2729</v>
      </c>
      <c r="G41" s="59"/>
      <c r="H41">
        <f t="shared" si="5"/>
        <v>2729</v>
      </c>
      <c r="I41" s="66" t="s">
        <v>535</v>
      </c>
      <c r="J41" s="69">
        <f t="shared" si="6"/>
        <v>0</v>
      </c>
      <c r="K41" t="str">
        <f t="shared" si="7"/>
        <v>Occupies a regular keeper slot.</v>
      </c>
    </row>
    <row r="42" spans="1:11">
      <c r="A42" t="s">
        <v>200</v>
      </c>
      <c r="B42" t="s">
        <v>121</v>
      </c>
      <c r="C42" t="s">
        <v>101</v>
      </c>
      <c r="D42" t="s">
        <v>200</v>
      </c>
      <c r="E42">
        <v>49</v>
      </c>
      <c r="F42">
        <f t="shared" si="4"/>
        <v>1844</v>
      </c>
      <c r="G42" s="59"/>
      <c r="H42">
        <f t="shared" si="5"/>
        <v>1844</v>
      </c>
      <c r="I42" s="66" t="s">
        <v>535</v>
      </c>
      <c r="J42" s="69">
        <f t="shared" si="6"/>
        <v>0</v>
      </c>
      <c r="K42" t="str">
        <f t="shared" si="7"/>
        <v>Occupies a regular keeper slot.</v>
      </c>
    </row>
    <row r="43" spans="1:11">
      <c r="A43" t="s">
        <v>201</v>
      </c>
      <c r="B43" t="s">
        <v>121</v>
      </c>
      <c r="C43" t="s">
        <v>101</v>
      </c>
      <c r="D43" t="s">
        <v>201</v>
      </c>
      <c r="E43">
        <v>43</v>
      </c>
      <c r="F43">
        <f t="shared" si="4"/>
        <v>2109</v>
      </c>
      <c r="G43" s="59"/>
      <c r="H43">
        <f t="shared" si="5"/>
        <v>2109</v>
      </c>
      <c r="I43" s="66" t="s">
        <v>535</v>
      </c>
      <c r="J43" s="69">
        <f t="shared" si="6"/>
        <v>0</v>
      </c>
      <c r="K43" t="str">
        <f t="shared" si="7"/>
        <v>Occupies a regular keeper slot.</v>
      </c>
    </row>
    <row r="44" spans="1:11">
      <c r="A44" t="s">
        <v>202</v>
      </c>
      <c r="B44" t="s">
        <v>121</v>
      </c>
      <c r="C44" t="s">
        <v>101</v>
      </c>
      <c r="D44" t="s">
        <v>202</v>
      </c>
      <c r="E44">
        <v>62</v>
      </c>
      <c r="F44">
        <f t="shared" si="4"/>
        <v>1435</v>
      </c>
      <c r="G44" s="59"/>
      <c r="H44">
        <f t="shared" si="5"/>
        <v>1435</v>
      </c>
      <c r="I44" s="66" t="s">
        <v>535</v>
      </c>
      <c r="J44" s="69">
        <f t="shared" si="6"/>
        <v>0</v>
      </c>
      <c r="K44" t="str">
        <f t="shared" si="7"/>
        <v>Occupies a regular keeper slot.</v>
      </c>
    </row>
    <row r="45" spans="1:11">
      <c r="A45" t="s">
        <v>203</v>
      </c>
      <c r="B45" t="s">
        <v>121</v>
      </c>
      <c r="C45" t="s">
        <v>1</v>
      </c>
      <c r="D45" t="s">
        <v>203</v>
      </c>
      <c r="E45">
        <v>35</v>
      </c>
      <c r="F45">
        <f t="shared" si="4"/>
        <v>2582</v>
      </c>
      <c r="G45" s="59"/>
      <c r="H45">
        <f t="shared" si="5"/>
        <v>2582</v>
      </c>
      <c r="I45" s="66" t="s">
        <v>535</v>
      </c>
      <c r="J45" s="69">
        <f t="shared" si="6"/>
        <v>0</v>
      </c>
      <c r="K45" t="str">
        <f t="shared" si="7"/>
        <v>Occupies a regular keeper slot.</v>
      </c>
    </row>
    <row r="46" spans="1:11">
      <c r="A46" t="s">
        <v>205</v>
      </c>
      <c r="B46" t="s">
        <v>121</v>
      </c>
      <c r="C46" t="s">
        <v>110</v>
      </c>
      <c r="D46" t="s">
        <v>205</v>
      </c>
      <c r="E46">
        <v>47</v>
      </c>
      <c r="F46">
        <f t="shared" si="4"/>
        <v>1926</v>
      </c>
      <c r="G46" s="59"/>
      <c r="H46">
        <f t="shared" si="5"/>
        <v>1926</v>
      </c>
      <c r="I46" s="66" t="s">
        <v>535</v>
      </c>
      <c r="J46" s="69">
        <f t="shared" si="6"/>
        <v>0</v>
      </c>
      <c r="K46" t="str">
        <f t="shared" si="7"/>
        <v>Occupies a regular keeper slot.</v>
      </c>
    </row>
    <row r="47" spans="1:11">
      <c r="A47" t="s">
        <v>10</v>
      </c>
      <c r="B47" t="s">
        <v>121</v>
      </c>
      <c r="C47" t="s">
        <v>2</v>
      </c>
      <c r="D47" t="s">
        <v>10</v>
      </c>
      <c r="E47">
        <v>46</v>
      </c>
      <c r="F47">
        <f t="shared" si="4"/>
        <v>1969</v>
      </c>
      <c r="G47" s="59"/>
      <c r="H47">
        <f t="shared" si="5"/>
        <v>1969</v>
      </c>
      <c r="I47" s="66" t="s">
        <v>535</v>
      </c>
      <c r="J47" s="69">
        <f t="shared" si="6"/>
        <v>0</v>
      </c>
      <c r="K47" t="str">
        <f t="shared" si="7"/>
        <v>Occupies a regular keeper slot.</v>
      </c>
    </row>
    <row r="48" spans="1:11">
      <c r="A48" t="s">
        <v>207</v>
      </c>
      <c r="B48" t="s">
        <v>121</v>
      </c>
      <c r="C48" t="s">
        <v>110</v>
      </c>
      <c r="D48" t="s">
        <v>207</v>
      </c>
      <c r="E48">
        <v>50</v>
      </c>
      <c r="F48">
        <f t="shared" si="4"/>
        <v>1806</v>
      </c>
      <c r="G48" s="59"/>
      <c r="H48">
        <f t="shared" si="5"/>
        <v>1806</v>
      </c>
      <c r="I48" s="66" t="s">
        <v>535</v>
      </c>
      <c r="J48" s="69">
        <f t="shared" si="6"/>
        <v>0</v>
      </c>
      <c r="K48" t="str">
        <f t="shared" si="7"/>
        <v>Occupies a regular keeper slot.</v>
      </c>
    </row>
    <row r="49" spans="1:11">
      <c r="A49" t="s">
        <v>208</v>
      </c>
      <c r="B49" t="s">
        <v>121</v>
      </c>
      <c r="C49" t="s">
        <v>1</v>
      </c>
      <c r="D49" t="s">
        <v>208</v>
      </c>
      <c r="E49">
        <v>56</v>
      </c>
      <c r="F49">
        <f t="shared" si="4"/>
        <v>1602</v>
      </c>
      <c r="G49" s="59"/>
      <c r="H49">
        <f t="shared" si="5"/>
        <v>1602</v>
      </c>
      <c r="I49" s="66" t="s">
        <v>535</v>
      </c>
      <c r="J49" s="69">
        <f t="shared" si="6"/>
        <v>0</v>
      </c>
      <c r="K49" t="str">
        <f t="shared" si="7"/>
        <v>Occupies a regular keeper slot.</v>
      </c>
    </row>
    <row r="50" spans="1:11">
      <c r="A50" t="s">
        <v>213</v>
      </c>
      <c r="B50" t="s">
        <v>121</v>
      </c>
      <c r="C50" t="s">
        <v>104</v>
      </c>
      <c r="D50" t="s">
        <v>213</v>
      </c>
      <c r="E50">
        <v>45</v>
      </c>
      <c r="F50">
        <f t="shared" si="4"/>
        <v>2014</v>
      </c>
      <c r="G50" s="59"/>
      <c r="H50">
        <f t="shared" si="5"/>
        <v>2014</v>
      </c>
      <c r="I50" s="66" t="s">
        <v>535</v>
      </c>
      <c r="J50" s="69">
        <f t="shared" si="6"/>
        <v>0</v>
      </c>
      <c r="K50" t="str">
        <f t="shared" si="7"/>
        <v>Occupies a regular keeper slot.</v>
      </c>
    </row>
    <row r="51" spans="1:11">
      <c r="A51" t="s">
        <v>214</v>
      </c>
      <c r="B51" t="s">
        <v>121</v>
      </c>
      <c r="C51" t="s">
        <v>110</v>
      </c>
      <c r="D51" t="s">
        <v>214</v>
      </c>
      <c r="E51">
        <v>42</v>
      </c>
      <c r="F51">
        <f t="shared" si="4"/>
        <v>2159</v>
      </c>
      <c r="G51" s="59"/>
      <c r="H51">
        <f t="shared" si="5"/>
        <v>2159</v>
      </c>
      <c r="I51" s="66" t="s">
        <v>535</v>
      </c>
      <c r="J51" s="69">
        <f t="shared" si="6"/>
        <v>0</v>
      </c>
      <c r="K51" t="str">
        <f t="shared" si="7"/>
        <v>Occupies a regular keeper slot.</v>
      </c>
    </row>
    <row r="52" spans="1:11">
      <c r="A52" t="s">
        <v>14</v>
      </c>
      <c r="B52" t="s">
        <v>121</v>
      </c>
      <c r="C52" t="s">
        <v>2</v>
      </c>
      <c r="D52" t="s">
        <v>14</v>
      </c>
      <c r="E52">
        <v>36</v>
      </c>
      <c r="F52">
        <f t="shared" si="4"/>
        <v>2513</v>
      </c>
      <c r="G52" s="59"/>
      <c r="H52">
        <f t="shared" si="5"/>
        <v>2513</v>
      </c>
      <c r="I52" s="66" t="s">
        <v>535</v>
      </c>
      <c r="J52" s="69">
        <f t="shared" si="6"/>
        <v>0</v>
      </c>
      <c r="K52" t="str">
        <f t="shared" si="7"/>
        <v>Occupies a regular keeper slot.</v>
      </c>
    </row>
    <row r="53" spans="1:11">
      <c r="A53" t="s">
        <v>12</v>
      </c>
      <c r="B53" t="s">
        <v>121</v>
      </c>
      <c r="C53" t="s">
        <v>2</v>
      </c>
      <c r="D53" t="s">
        <v>12</v>
      </c>
      <c r="E53">
        <v>34</v>
      </c>
      <c r="F53">
        <f t="shared" si="4"/>
        <v>2654</v>
      </c>
      <c r="G53" s="59"/>
      <c r="H53">
        <f t="shared" si="5"/>
        <v>2654</v>
      </c>
      <c r="I53" s="66" t="s">
        <v>535</v>
      </c>
      <c r="J53" s="69">
        <f t="shared" si="6"/>
        <v>0</v>
      </c>
      <c r="K53" t="str">
        <f t="shared" si="7"/>
        <v>Occupies a regular keeper slot.</v>
      </c>
    </row>
    <row r="54" spans="1:11">
      <c r="A54" t="s">
        <v>218</v>
      </c>
      <c r="B54" t="s">
        <v>121</v>
      </c>
      <c r="C54" t="s">
        <v>98</v>
      </c>
      <c r="D54" t="s">
        <v>218</v>
      </c>
      <c r="E54">
        <v>57</v>
      </c>
      <c r="F54">
        <f t="shared" si="4"/>
        <v>1572</v>
      </c>
      <c r="G54" s="59"/>
      <c r="H54">
        <f t="shared" si="5"/>
        <v>1572</v>
      </c>
      <c r="I54" s="66" t="s">
        <v>535</v>
      </c>
      <c r="J54" s="69">
        <f t="shared" si="6"/>
        <v>0</v>
      </c>
      <c r="K54" t="str">
        <f t="shared" si="7"/>
        <v>Occupies a regular keeper slot.</v>
      </c>
    </row>
    <row r="55" spans="1:11">
      <c r="A55" t="s">
        <v>8</v>
      </c>
      <c r="B55" t="s">
        <v>121</v>
      </c>
      <c r="C55" t="s">
        <v>3</v>
      </c>
      <c r="D55" t="s">
        <v>8</v>
      </c>
      <c r="E55">
        <v>66</v>
      </c>
      <c r="F55">
        <f t="shared" si="4"/>
        <v>1341</v>
      </c>
      <c r="G55" s="59"/>
      <c r="H55">
        <f t="shared" si="5"/>
        <v>1341</v>
      </c>
      <c r="I55" s="66" t="s">
        <v>535</v>
      </c>
      <c r="J55" s="69">
        <f t="shared" si="6"/>
        <v>0</v>
      </c>
      <c r="K55" t="str">
        <f t="shared" si="7"/>
        <v>Occupies a regular keeper slot.</v>
      </c>
    </row>
    <row r="56" spans="1:11">
      <c r="A56" t="s">
        <v>219</v>
      </c>
      <c r="B56" t="s">
        <v>121</v>
      </c>
      <c r="C56" t="s">
        <v>101</v>
      </c>
      <c r="D56" t="s">
        <v>219</v>
      </c>
      <c r="E56">
        <v>65</v>
      </c>
      <c r="F56">
        <f t="shared" si="4"/>
        <v>1363</v>
      </c>
      <c r="G56" s="59"/>
      <c r="H56">
        <f t="shared" si="5"/>
        <v>1363</v>
      </c>
      <c r="I56" s="66" t="s">
        <v>535</v>
      </c>
      <c r="J56" s="69">
        <f t="shared" si="6"/>
        <v>0</v>
      </c>
      <c r="K56" t="str">
        <f t="shared" si="7"/>
        <v>Occupies a regular keeper slot.</v>
      </c>
    </row>
    <row r="57" spans="1:11">
      <c r="A57" t="s">
        <v>228</v>
      </c>
      <c r="B57" t="s">
        <v>121</v>
      </c>
      <c r="C57" t="s">
        <v>104</v>
      </c>
      <c r="D57" t="s">
        <v>228</v>
      </c>
      <c r="E57">
        <v>48</v>
      </c>
      <c r="F57">
        <f t="shared" si="4"/>
        <v>1884</v>
      </c>
      <c r="G57" s="59"/>
      <c r="H57">
        <f t="shared" si="5"/>
        <v>1884</v>
      </c>
      <c r="I57" s="66" t="s">
        <v>535</v>
      </c>
      <c r="J57" s="69">
        <f t="shared" si="6"/>
        <v>0</v>
      </c>
      <c r="K57" t="str">
        <f t="shared" si="7"/>
        <v>Occupies a regular keeper slot.</v>
      </c>
    </row>
    <row r="58" spans="1:11">
      <c r="A58" t="s">
        <v>229</v>
      </c>
      <c r="B58" t="s">
        <v>121</v>
      </c>
      <c r="C58" t="s">
        <v>98</v>
      </c>
      <c r="D58" t="s">
        <v>229</v>
      </c>
      <c r="E58">
        <v>67</v>
      </c>
      <c r="F58">
        <f t="shared" si="4"/>
        <v>1319</v>
      </c>
      <c r="G58" s="59"/>
      <c r="H58">
        <f t="shared" si="5"/>
        <v>1319</v>
      </c>
      <c r="I58" s="66" t="s">
        <v>535</v>
      </c>
      <c r="J58" s="69">
        <f t="shared" si="6"/>
        <v>0</v>
      </c>
      <c r="K58" t="str">
        <f t="shared" si="7"/>
        <v>Occupies a regular keeper slot.</v>
      </c>
    </row>
    <row r="59" spans="1:11">
      <c r="A59" t="s">
        <v>11</v>
      </c>
      <c r="B59" t="s">
        <v>121</v>
      </c>
      <c r="C59" t="s">
        <v>2</v>
      </c>
      <c r="D59" t="s">
        <v>11</v>
      </c>
      <c r="E59">
        <v>81</v>
      </c>
      <c r="F59">
        <f t="shared" si="4"/>
        <v>1067</v>
      </c>
      <c r="G59" s="59"/>
      <c r="H59">
        <f t="shared" si="5"/>
        <v>1067</v>
      </c>
      <c r="I59" s="66" t="s">
        <v>535</v>
      </c>
      <c r="J59" s="69">
        <f t="shared" si="6"/>
        <v>0</v>
      </c>
      <c r="K59" t="str">
        <f t="shared" si="7"/>
        <v>Occupies a regular keeper slot.</v>
      </c>
    </row>
    <row r="60" spans="1:11">
      <c r="A60" t="s">
        <v>232</v>
      </c>
      <c r="B60" t="s">
        <v>121</v>
      </c>
      <c r="C60" t="s">
        <v>98</v>
      </c>
      <c r="D60" t="s">
        <v>232</v>
      </c>
      <c r="E60">
        <v>80</v>
      </c>
      <c r="F60">
        <f t="shared" si="4"/>
        <v>1082</v>
      </c>
      <c r="G60" s="59"/>
      <c r="H60">
        <f t="shared" si="5"/>
        <v>1082</v>
      </c>
      <c r="I60" s="66" t="s">
        <v>535</v>
      </c>
      <c r="J60" s="69">
        <f t="shared" si="6"/>
        <v>0</v>
      </c>
      <c r="K60" t="str">
        <f t="shared" si="7"/>
        <v>Occupies a regular keeper slot.</v>
      </c>
    </row>
    <row r="61" spans="1:11">
      <c r="A61" t="s">
        <v>238</v>
      </c>
      <c r="B61" t="s">
        <v>121</v>
      </c>
      <c r="C61" t="s">
        <v>98</v>
      </c>
      <c r="D61" t="s">
        <v>238</v>
      </c>
      <c r="E61">
        <v>63</v>
      </c>
      <c r="F61">
        <f t="shared" si="4"/>
        <v>1411</v>
      </c>
      <c r="G61" s="59"/>
      <c r="H61">
        <f t="shared" si="5"/>
        <v>1411</v>
      </c>
      <c r="I61" s="66" t="s">
        <v>535</v>
      </c>
      <c r="J61" s="69">
        <f t="shared" si="6"/>
        <v>0</v>
      </c>
      <c r="K61" t="str">
        <f t="shared" si="7"/>
        <v>Occupies a regular keeper slot.</v>
      </c>
    </row>
    <row r="62" spans="1:11">
      <c r="A62" t="s">
        <v>249</v>
      </c>
      <c r="B62" t="s">
        <v>121</v>
      </c>
      <c r="C62" t="s">
        <v>101</v>
      </c>
      <c r="D62" t="s">
        <v>249</v>
      </c>
      <c r="E62">
        <v>89</v>
      </c>
      <c r="F62">
        <f t="shared" si="4"/>
        <v>958</v>
      </c>
      <c r="G62" s="59"/>
      <c r="H62">
        <f t="shared" si="5"/>
        <v>958</v>
      </c>
      <c r="I62" s="66" t="s">
        <v>535</v>
      </c>
      <c r="J62" s="69">
        <f t="shared" si="6"/>
        <v>0</v>
      </c>
      <c r="K62" t="str">
        <f t="shared" si="7"/>
        <v>Occupies a regular keeper slot.</v>
      </c>
    </row>
    <row r="63" spans="1:11">
      <c r="A63" t="s">
        <v>5</v>
      </c>
      <c r="B63" t="s">
        <v>121</v>
      </c>
      <c r="C63" t="s">
        <v>3</v>
      </c>
      <c r="D63" t="s">
        <v>5</v>
      </c>
      <c r="E63">
        <v>61</v>
      </c>
      <c r="F63">
        <f t="shared" si="4"/>
        <v>1461</v>
      </c>
      <c r="G63" s="59"/>
      <c r="H63">
        <f t="shared" si="5"/>
        <v>1461</v>
      </c>
      <c r="I63" s="66" t="s">
        <v>535</v>
      </c>
      <c r="J63" s="69">
        <f t="shared" si="6"/>
        <v>0</v>
      </c>
      <c r="K63" t="str">
        <f t="shared" si="7"/>
        <v>Occupies a regular keeper slot.</v>
      </c>
    </row>
    <row r="64" spans="1:11">
      <c r="A64" t="s">
        <v>6</v>
      </c>
      <c r="B64" t="s">
        <v>121</v>
      </c>
      <c r="C64" t="s">
        <v>3</v>
      </c>
      <c r="D64" t="s">
        <v>6</v>
      </c>
      <c r="E64">
        <v>70</v>
      </c>
      <c r="F64">
        <f t="shared" si="4"/>
        <v>1256</v>
      </c>
      <c r="G64" s="59"/>
      <c r="H64">
        <f t="shared" si="5"/>
        <v>1256</v>
      </c>
      <c r="I64" s="66" t="s">
        <v>535</v>
      </c>
      <c r="J64" s="69">
        <f t="shared" si="6"/>
        <v>0</v>
      </c>
      <c r="K64" t="str">
        <f t="shared" si="7"/>
        <v>Occupies a regular keeper slot.</v>
      </c>
    </row>
    <row r="65" spans="1:11">
      <c r="A65" t="s">
        <v>271</v>
      </c>
      <c r="B65" t="s">
        <v>121</v>
      </c>
      <c r="C65" t="s">
        <v>104</v>
      </c>
      <c r="D65" t="s">
        <v>271</v>
      </c>
      <c r="E65">
        <v>105</v>
      </c>
      <c r="F65">
        <f t="shared" si="4"/>
        <v>792</v>
      </c>
      <c r="G65" s="59"/>
      <c r="H65">
        <f t="shared" si="5"/>
        <v>792</v>
      </c>
      <c r="I65" s="66" t="s">
        <v>535</v>
      </c>
      <c r="J65" s="69">
        <f t="shared" si="6"/>
        <v>0</v>
      </c>
      <c r="K65" t="str">
        <f t="shared" si="7"/>
        <v>Occupies a regular keeper slot.</v>
      </c>
    </row>
    <row r="66" spans="1:11">
      <c r="A66" t="s">
        <v>292</v>
      </c>
      <c r="B66" t="s">
        <v>121</v>
      </c>
      <c r="C66" t="s">
        <v>107</v>
      </c>
      <c r="D66" t="s">
        <v>292</v>
      </c>
      <c r="E66">
        <v>123</v>
      </c>
      <c r="F66">
        <f t="shared" si="4"/>
        <v>658</v>
      </c>
      <c r="G66" s="59"/>
      <c r="H66">
        <f t="shared" si="5"/>
        <v>658</v>
      </c>
      <c r="I66" s="66" t="s">
        <v>535</v>
      </c>
      <c r="J66" s="69">
        <f t="shared" si="6"/>
        <v>0</v>
      </c>
      <c r="K66" t="str">
        <f t="shared" si="7"/>
        <v>Occupies a regular keeper slot.</v>
      </c>
    </row>
    <row r="67" spans="1:11">
      <c r="A67" t="s">
        <v>329</v>
      </c>
      <c r="B67" t="s">
        <v>121</v>
      </c>
      <c r="C67" t="s">
        <v>3</v>
      </c>
      <c r="D67" t="s">
        <v>329</v>
      </c>
      <c r="E67">
        <v>158</v>
      </c>
      <c r="F67">
        <f t="shared" si="4"/>
        <v>489</v>
      </c>
      <c r="G67" s="59"/>
      <c r="H67">
        <f t="shared" si="5"/>
        <v>489</v>
      </c>
      <c r="I67" s="66" t="s">
        <v>535</v>
      </c>
      <c r="J67" s="69">
        <f t="shared" si="6"/>
        <v>0</v>
      </c>
      <c r="K67" t="str">
        <f t="shared" si="7"/>
        <v>Occupies a regular keeper slot.</v>
      </c>
    </row>
    <row r="68" spans="1:11">
      <c r="A68" t="s">
        <v>543</v>
      </c>
      <c r="B68" t="s">
        <v>544</v>
      </c>
      <c r="C68" t="s">
        <v>98</v>
      </c>
      <c r="D68" t="s">
        <v>543</v>
      </c>
      <c r="F68">
        <f t="shared" si="4"/>
        <v>8600</v>
      </c>
      <c r="G68" s="59"/>
      <c r="H68">
        <f t="shared" si="5"/>
        <v>8600</v>
      </c>
      <c r="I68" s="66" t="s">
        <v>337</v>
      </c>
      <c r="J68" s="69">
        <f t="shared" si="6"/>
        <v>0</v>
      </c>
      <c r="K68" t="str">
        <f t="shared" si="7"/>
        <v>Picks do not trigger consolidation or slot penalties.</v>
      </c>
    </row>
    <row r="69" spans="1:11">
      <c r="A69" t="s">
        <v>545</v>
      </c>
      <c r="B69" t="s">
        <v>544</v>
      </c>
      <c r="C69" t="s">
        <v>110</v>
      </c>
      <c r="D69" t="s">
        <v>545</v>
      </c>
      <c r="F69">
        <f t="shared" ref="F69:F100" si="8">IF(B69="Player",ROUND(10000/(1+0.035*(E69-1)^1.25),0),IF(B69="2026 Pick",IF(VALUE(LEFT(D69,4))=2026,IF(VALUE(MID(D69,6,FIND(".",D69)-6))=1,8600-(VALUE(RIGHT(D69,2))-1)*650,IF(VALUE(MID(D69,6,FIND(".",D69)-6))=2,5000-(VALUE(RIGHT(D69,2))-1)*250,IF(VALUE(MID(D69,6,FIND(".",D69)-6))=3,3000-(VALUE(RIGHT(D69,2))-1)*140,MAX(500,2100-(VALUE(MID(D69,6,FIND(".",D69)-6))-4)*250-(VALUE(RIGHT(D69,2))-1)*35)))),0),IF(B69="Future Pick",IF(RIGHT(D69,1)="1",IF(LEFT(D69,4)="2027",6200,5000),IF(RIGHT(D69,1)="2",IF(LEFT(D69,4)="2027",3000,2400),IF(LEFT(D69,4)="2027",1500,1200))),0)))</f>
        <v>7950</v>
      </c>
      <c r="G69" s="59"/>
      <c r="H69">
        <f t="shared" ref="H69:H100" si="9">IF(G69&lt;&gt;"",G69,ROUND(F69*(1+J69),0))</f>
        <v>7950</v>
      </c>
      <c r="I69" s="66" t="s">
        <v>337</v>
      </c>
      <c r="J69" s="69">
        <f t="shared" ref="J69:J100" si="10">IF(I69="Taxi",$N$5,0)</f>
        <v>0</v>
      </c>
      <c r="K69" t="str">
        <f t="shared" ref="K69:K100" si="11">IF(I69="Taxi","Taxi asset receives a small boost and a reduced slot penalty.",IF(I69="Regular","Occupies a regular keeper slot.","Picks do not trigger consolidation or slot penalties."))</f>
        <v>Picks do not trigger consolidation or slot penalties.</v>
      </c>
    </row>
    <row r="70" spans="1:11">
      <c r="A70" t="s">
        <v>546</v>
      </c>
      <c r="B70" t="s">
        <v>544</v>
      </c>
      <c r="C70" t="s">
        <v>104</v>
      </c>
      <c r="D70" t="s">
        <v>546</v>
      </c>
      <c r="F70">
        <f t="shared" si="8"/>
        <v>7300</v>
      </c>
      <c r="G70" s="59"/>
      <c r="H70">
        <f t="shared" si="9"/>
        <v>7300</v>
      </c>
      <c r="I70" s="66" t="s">
        <v>337</v>
      </c>
      <c r="J70" s="69">
        <f t="shared" si="10"/>
        <v>0</v>
      </c>
      <c r="K70" t="str">
        <f t="shared" si="11"/>
        <v>Picks do not trigger consolidation or slot penalties.</v>
      </c>
    </row>
    <row r="71" spans="1:11">
      <c r="A71" t="s">
        <v>547</v>
      </c>
      <c r="B71" t="s">
        <v>544</v>
      </c>
      <c r="C71" t="s">
        <v>2</v>
      </c>
      <c r="D71" t="s">
        <v>547</v>
      </c>
      <c r="F71">
        <f t="shared" si="8"/>
        <v>6650</v>
      </c>
      <c r="G71" s="59"/>
      <c r="H71">
        <f t="shared" si="9"/>
        <v>6650</v>
      </c>
      <c r="I71" s="66" t="s">
        <v>337</v>
      </c>
      <c r="J71" s="69">
        <f t="shared" si="10"/>
        <v>0</v>
      </c>
      <c r="K71" t="str">
        <f t="shared" si="11"/>
        <v>Picks do not trigger consolidation or slot penalties.</v>
      </c>
    </row>
    <row r="72" spans="1:11">
      <c r="A72" t="s">
        <v>548</v>
      </c>
      <c r="B72" t="s">
        <v>544</v>
      </c>
      <c r="C72" t="s">
        <v>101</v>
      </c>
      <c r="D72" t="s">
        <v>548</v>
      </c>
      <c r="F72">
        <f t="shared" si="8"/>
        <v>6000</v>
      </c>
      <c r="G72" s="59"/>
      <c r="H72">
        <f t="shared" si="9"/>
        <v>6000</v>
      </c>
      <c r="I72" s="66" t="s">
        <v>337</v>
      </c>
      <c r="J72" s="69">
        <f t="shared" si="10"/>
        <v>0</v>
      </c>
      <c r="K72" t="str">
        <f t="shared" si="11"/>
        <v>Picks do not trigger consolidation or slot penalties.</v>
      </c>
    </row>
    <row r="73" spans="1:11">
      <c r="A73" t="s">
        <v>549</v>
      </c>
      <c r="B73" t="s">
        <v>544</v>
      </c>
      <c r="C73" t="s">
        <v>107</v>
      </c>
      <c r="D73" t="s">
        <v>549</v>
      </c>
      <c r="F73">
        <f t="shared" si="8"/>
        <v>5350</v>
      </c>
      <c r="G73" s="59"/>
      <c r="H73">
        <f t="shared" si="9"/>
        <v>5350</v>
      </c>
      <c r="I73" s="66" t="s">
        <v>337</v>
      </c>
      <c r="J73" s="69">
        <f t="shared" si="10"/>
        <v>0</v>
      </c>
      <c r="K73" t="str">
        <f t="shared" si="11"/>
        <v>Picks do not trigger consolidation or slot penalties.</v>
      </c>
    </row>
    <row r="74" spans="1:11">
      <c r="A74" t="s">
        <v>550</v>
      </c>
      <c r="B74" t="s">
        <v>544</v>
      </c>
      <c r="C74" t="s">
        <v>110</v>
      </c>
      <c r="D74" t="s">
        <v>550</v>
      </c>
      <c r="F74">
        <f t="shared" si="8"/>
        <v>4700</v>
      </c>
      <c r="G74" s="59"/>
      <c r="H74">
        <f t="shared" si="9"/>
        <v>4700</v>
      </c>
      <c r="I74" s="66" t="s">
        <v>337</v>
      </c>
      <c r="J74" s="69">
        <f t="shared" si="10"/>
        <v>0</v>
      </c>
      <c r="K74" t="str">
        <f t="shared" si="11"/>
        <v>Picks do not trigger consolidation or slot penalties.</v>
      </c>
    </row>
    <row r="75" spans="1:11">
      <c r="A75" t="s">
        <v>551</v>
      </c>
      <c r="B75" t="s">
        <v>544</v>
      </c>
      <c r="C75" t="s">
        <v>104</v>
      </c>
      <c r="D75" t="s">
        <v>551</v>
      </c>
      <c r="F75">
        <f t="shared" si="8"/>
        <v>4050</v>
      </c>
      <c r="G75" s="59"/>
      <c r="H75">
        <f t="shared" si="9"/>
        <v>4050</v>
      </c>
      <c r="I75" s="66" t="s">
        <v>337</v>
      </c>
      <c r="J75" s="69">
        <f t="shared" si="10"/>
        <v>0</v>
      </c>
      <c r="K75" t="str">
        <f t="shared" si="11"/>
        <v>Picks do not trigger consolidation or slot penalties.</v>
      </c>
    </row>
    <row r="76" spans="1:11">
      <c r="A76" t="s">
        <v>552</v>
      </c>
      <c r="B76" t="s">
        <v>544</v>
      </c>
      <c r="C76" t="s">
        <v>98</v>
      </c>
      <c r="D76" t="s">
        <v>552</v>
      </c>
      <c r="F76">
        <f t="shared" si="8"/>
        <v>5000</v>
      </c>
      <c r="G76" s="59"/>
      <c r="H76">
        <f t="shared" si="9"/>
        <v>5000</v>
      </c>
      <c r="I76" s="66" t="s">
        <v>337</v>
      </c>
      <c r="J76" s="69">
        <f t="shared" si="10"/>
        <v>0</v>
      </c>
      <c r="K76" t="str">
        <f t="shared" si="11"/>
        <v>Picks do not trigger consolidation or slot penalties.</v>
      </c>
    </row>
    <row r="77" spans="1:11">
      <c r="A77" t="s">
        <v>553</v>
      </c>
      <c r="B77" t="s">
        <v>544</v>
      </c>
      <c r="C77" t="s">
        <v>101</v>
      </c>
      <c r="D77" t="s">
        <v>553</v>
      </c>
      <c r="F77">
        <f t="shared" si="8"/>
        <v>4750</v>
      </c>
      <c r="G77" s="59"/>
      <c r="H77">
        <f t="shared" si="9"/>
        <v>4750</v>
      </c>
      <c r="I77" s="66" t="s">
        <v>337</v>
      </c>
      <c r="J77" s="69">
        <f t="shared" si="10"/>
        <v>0</v>
      </c>
      <c r="K77" t="str">
        <f t="shared" si="11"/>
        <v>Picks do not trigger consolidation or slot penalties.</v>
      </c>
    </row>
    <row r="78" spans="1:11">
      <c r="A78" t="s">
        <v>554</v>
      </c>
      <c r="B78" t="s">
        <v>544</v>
      </c>
      <c r="C78" t="s">
        <v>104</v>
      </c>
      <c r="D78" t="s">
        <v>554</v>
      </c>
      <c r="F78">
        <f t="shared" si="8"/>
        <v>4500</v>
      </c>
      <c r="G78" s="59"/>
      <c r="H78">
        <f t="shared" si="9"/>
        <v>4500</v>
      </c>
      <c r="I78" s="66" t="s">
        <v>337</v>
      </c>
      <c r="J78" s="69">
        <f t="shared" si="10"/>
        <v>0</v>
      </c>
      <c r="K78" t="str">
        <f t="shared" si="11"/>
        <v>Picks do not trigger consolidation or slot penalties.</v>
      </c>
    </row>
    <row r="79" spans="1:11">
      <c r="A79" t="s">
        <v>555</v>
      </c>
      <c r="B79" t="s">
        <v>544</v>
      </c>
      <c r="C79" t="s">
        <v>2</v>
      </c>
      <c r="D79" t="s">
        <v>555</v>
      </c>
      <c r="F79">
        <f t="shared" si="8"/>
        <v>4250</v>
      </c>
      <c r="G79" s="59"/>
      <c r="H79">
        <f t="shared" si="9"/>
        <v>4250</v>
      </c>
      <c r="I79" s="66" t="s">
        <v>337</v>
      </c>
      <c r="J79" s="69">
        <f t="shared" si="10"/>
        <v>0</v>
      </c>
      <c r="K79" t="str">
        <f t="shared" si="11"/>
        <v>Picks do not trigger consolidation or slot penalties.</v>
      </c>
    </row>
    <row r="80" spans="1:11">
      <c r="A80" t="s">
        <v>556</v>
      </c>
      <c r="B80" t="s">
        <v>544</v>
      </c>
      <c r="C80" t="s">
        <v>1</v>
      </c>
      <c r="D80" t="s">
        <v>556</v>
      </c>
      <c r="F80">
        <f t="shared" si="8"/>
        <v>4000</v>
      </c>
      <c r="G80" s="59"/>
      <c r="H80">
        <f t="shared" si="9"/>
        <v>4000</v>
      </c>
      <c r="I80" s="66" t="s">
        <v>337</v>
      </c>
      <c r="J80" s="69">
        <f t="shared" si="10"/>
        <v>0</v>
      </c>
      <c r="K80" t="str">
        <f t="shared" si="11"/>
        <v>Picks do not trigger consolidation or slot penalties.</v>
      </c>
    </row>
    <row r="81" spans="1:11">
      <c r="A81" t="s">
        <v>557</v>
      </c>
      <c r="B81" t="s">
        <v>544</v>
      </c>
      <c r="C81" t="s">
        <v>3</v>
      </c>
      <c r="D81" t="s">
        <v>557</v>
      </c>
      <c r="F81">
        <f t="shared" si="8"/>
        <v>3750</v>
      </c>
      <c r="G81" s="59"/>
      <c r="H81">
        <f t="shared" si="9"/>
        <v>3750</v>
      </c>
      <c r="I81" s="66" t="s">
        <v>337</v>
      </c>
      <c r="J81" s="69">
        <f t="shared" si="10"/>
        <v>0</v>
      </c>
      <c r="K81" t="str">
        <f t="shared" si="11"/>
        <v>Picks do not trigger consolidation or slot penalties.</v>
      </c>
    </row>
    <row r="82" spans="1:11">
      <c r="A82" t="s">
        <v>558</v>
      </c>
      <c r="B82" t="s">
        <v>544</v>
      </c>
      <c r="C82" t="s">
        <v>107</v>
      </c>
      <c r="D82" t="s">
        <v>558</v>
      </c>
      <c r="F82">
        <f t="shared" si="8"/>
        <v>3500</v>
      </c>
      <c r="G82" s="59"/>
      <c r="H82">
        <f t="shared" si="9"/>
        <v>3500</v>
      </c>
      <c r="I82" s="66" t="s">
        <v>337</v>
      </c>
      <c r="J82" s="69">
        <f t="shared" si="10"/>
        <v>0</v>
      </c>
      <c r="K82" t="str">
        <f t="shared" si="11"/>
        <v>Picks do not trigger consolidation or slot penalties.</v>
      </c>
    </row>
    <row r="83" spans="1:11">
      <c r="A83" t="s">
        <v>559</v>
      </c>
      <c r="B83" t="s">
        <v>544</v>
      </c>
      <c r="C83" t="s">
        <v>110</v>
      </c>
      <c r="D83" t="s">
        <v>559</v>
      </c>
      <c r="F83">
        <f t="shared" si="8"/>
        <v>3250</v>
      </c>
      <c r="G83" s="59"/>
      <c r="H83">
        <f t="shared" si="9"/>
        <v>3250</v>
      </c>
      <c r="I83" s="66" t="s">
        <v>337</v>
      </c>
      <c r="J83" s="69">
        <f t="shared" si="10"/>
        <v>0</v>
      </c>
      <c r="K83" t="str">
        <f t="shared" si="11"/>
        <v>Picks do not trigger consolidation or slot penalties.</v>
      </c>
    </row>
    <row r="84" spans="1:11">
      <c r="A84" t="s">
        <v>560</v>
      </c>
      <c r="B84" t="s">
        <v>544</v>
      </c>
      <c r="C84" t="s">
        <v>98</v>
      </c>
      <c r="D84" t="s">
        <v>560</v>
      </c>
      <c r="F84">
        <f t="shared" si="8"/>
        <v>3000</v>
      </c>
      <c r="G84" s="59"/>
      <c r="H84">
        <f t="shared" si="9"/>
        <v>3000</v>
      </c>
      <c r="I84" s="66" t="s">
        <v>337</v>
      </c>
      <c r="J84" s="69">
        <f t="shared" si="10"/>
        <v>0</v>
      </c>
      <c r="K84" t="str">
        <f t="shared" si="11"/>
        <v>Picks do not trigger consolidation or slot penalties.</v>
      </c>
    </row>
    <row r="85" spans="1:11">
      <c r="A85" t="s">
        <v>561</v>
      </c>
      <c r="B85" t="s">
        <v>544</v>
      </c>
      <c r="C85" t="s">
        <v>101</v>
      </c>
      <c r="D85" t="s">
        <v>561</v>
      </c>
      <c r="F85">
        <f t="shared" si="8"/>
        <v>2860</v>
      </c>
      <c r="G85" s="59"/>
      <c r="H85">
        <f t="shared" si="9"/>
        <v>2860</v>
      </c>
      <c r="I85" s="66" t="s">
        <v>337</v>
      </c>
      <c r="J85" s="69">
        <f t="shared" si="10"/>
        <v>0</v>
      </c>
      <c r="K85" t="str">
        <f t="shared" si="11"/>
        <v>Picks do not trigger consolidation or slot penalties.</v>
      </c>
    </row>
    <row r="86" spans="1:11">
      <c r="A86" t="s">
        <v>562</v>
      </c>
      <c r="B86" t="s">
        <v>544</v>
      </c>
      <c r="C86" t="s">
        <v>1</v>
      </c>
      <c r="D86" t="s">
        <v>562</v>
      </c>
      <c r="F86">
        <f t="shared" si="8"/>
        <v>2720</v>
      </c>
      <c r="G86" s="59"/>
      <c r="H86">
        <f t="shared" si="9"/>
        <v>2720</v>
      </c>
      <c r="I86" s="66" t="s">
        <v>337</v>
      </c>
      <c r="J86" s="69">
        <f t="shared" si="10"/>
        <v>0</v>
      </c>
      <c r="K86" t="str">
        <f t="shared" si="11"/>
        <v>Picks do not trigger consolidation or slot penalties.</v>
      </c>
    </row>
    <row r="87" spans="1:11">
      <c r="A87" t="s">
        <v>563</v>
      </c>
      <c r="B87" t="s">
        <v>544</v>
      </c>
      <c r="C87" t="s">
        <v>2</v>
      </c>
      <c r="D87" t="s">
        <v>563</v>
      </c>
      <c r="F87">
        <f t="shared" si="8"/>
        <v>2580</v>
      </c>
      <c r="G87" s="59"/>
      <c r="H87">
        <f t="shared" si="9"/>
        <v>2580</v>
      </c>
      <c r="I87" s="66" t="s">
        <v>337</v>
      </c>
      <c r="J87" s="69">
        <f t="shared" si="10"/>
        <v>0</v>
      </c>
      <c r="K87" t="str">
        <f t="shared" si="11"/>
        <v>Picks do not trigger consolidation or slot penalties.</v>
      </c>
    </row>
    <row r="88" spans="1:11">
      <c r="A88" t="s">
        <v>564</v>
      </c>
      <c r="B88" t="s">
        <v>544</v>
      </c>
      <c r="C88" t="s">
        <v>3</v>
      </c>
      <c r="D88" t="s">
        <v>564</v>
      </c>
      <c r="F88">
        <f t="shared" si="8"/>
        <v>2440</v>
      </c>
      <c r="G88" s="59"/>
      <c r="H88">
        <f t="shared" si="9"/>
        <v>2440</v>
      </c>
      <c r="I88" s="66" t="s">
        <v>337</v>
      </c>
      <c r="J88" s="69">
        <f t="shared" si="10"/>
        <v>0</v>
      </c>
      <c r="K88" t="str">
        <f t="shared" si="11"/>
        <v>Picks do not trigger consolidation or slot penalties.</v>
      </c>
    </row>
    <row r="89" spans="1:11">
      <c r="A89" t="s">
        <v>565</v>
      </c>
      <c r="B89" t="s">
        <v>544</v>
      </c>
      <c r="C89" t="s">
        <v>98</v>
      </c>
      <c r="D89" t="s">
        <v>565</v>
      </c>
      <c r="F89">
        <f t="shared" si="8"/>
        <v>2300</v>
      </c>
      <c r="G89" s="59"/>
      <c r="H89">
        <f t="shared" si="9"/>
        <v>2300</v>
      </c>
      <c r="I89" s="66" t="s">
        <v>337</v>
      </c>
      <c r="J89" s="69">
        <f t="shared" si="10"/>
        <v>0</v>
      </c>
      <c r="K89" t="str">
        <f t="shared" si="11"/>
        <v>Picks do not trigger consolidation or slot penalties.</v>
      </c>
    </row>
    <row r="90" spans="1:11">
      <c r="A90" t="s">
        <v>566</v>
      </c>
      <c r="B90" t="s">
        <v>544</v>
      </c>
      <c r="C90" t="s">
        <v>107</v>
      </c>
      <c r="D90" t="s">
        <v>566</v>
      </c>
      <c r="F90">
        <f t="shared" si="8"/>
        <v>2160</v>
      </c>
      <c r="G90" s="59"/>
      <c r="H90">
        <f t="shared" si="9"/>
        <v>2160</v>
      </c>
      <c r="I90" s="66" t="s">
        <v>337</v>
      </c>
      <c r="J90" s="69">
        <f t="shared" si="10"/>
        <v>0</v>
      </c>
      <c r="K90" t="str">
        <f t="shared" si="11"/>
        <v>Picks do not trigger consolidation or slot penalties.</v>
      </c>
    </row>
    <row r="91" spans="1:11">
      <c r="A91" t="s">
        <v>567</v>
      </c>
      <c r="B91" t="s">
        <v>544</v>
      </c>
      <c r="C91" t="s">
        <v>3</v>
      </c>
      <c r="D91" t="s">
        <v>567</v>
      </c>
      <c r="F91">
        <f t="shared" si="8"/>
        <v>2020</v>
      </c>
      <c r="G91" s="59"/>
      <c r="H91">
        <f t="shared" si="9"/>
        <v>2020</v>
      </c>
      <c r="I91" s="66" t="s">
        <v>337</v>
      </c>
      <c r="J91" s="69">
        <f t="shared" si="10"/>
        <v>0</v>
      </c>
      <c r="K91" t="str">
        <f t="shared" si="11"/>
        <v>Picks do not trigger consolidation or slot penalties.</v>
      </c>
    </row>
    <row r="92" spans="1:11">
      <c r="A92" t="s">
        <v>568</v>
      </c>
      <c r="B92" t="s">
        <v>544</v>
      </c>
      <c r="C92" t="s">
        <v>1</v>
      </c>
      <c r="D92" t="s">
        <v>568</v>
      </c>
      <c r="F92">
        <f t="shared" si="8"/>
        <v>1995</v>
      </c>
      <c r="G92" s="59"/>
      <c r="H92">
        <f t="shared" si="9"/>
        <v>1995</v>
      </c>
      <c r="I92" s="66" t="s">
        <v>337</v>
      </c>
      <c r="J92" s="69">
        <f t="shared" si="10"/>
        <v>0</v>
      </c>
      <c r="K92" t="str">
        <f t="shared" si="11"/>
        <v>Picks do not trigger consolidation or slot penalties.</v>
      </c>
    </row>
    <row r="93" spans="1:11">
      <c r="A93" t="s">
        <v>569</v>
      </c>
      <c r="B93" t="s">
        <v>544</v>
      </c>
      <c r="C93" t="s">
        <v>1</v>
      </c>
      <c r="D93" t="s">
        <v>569</v>
      </c>
      <c r="F93">
        <f t="shared" si="8"/>
        <v>1815</v>
      </c>
      <c r="G93" s="59"/>
      <c r="H93">
        <f t="shared" si="9"/>
        <v>1815</v>
      </c>
      <c r="I93" s="66" t="s">
        <v>337</v>
      </c>
      <c r="J93" s="69">
        <f t="shared" si="10"/>
        <v>0</v>
      </c>
      <c r="K93" t="str">
        <f t="shared" si="11"/>
        <v>Picks do not trigger consolidation or slot penalties.</v>
      </c>
    </row>
    <row r="94" spans="1:11">
      <c r="A94" t="s">
        <v>570</v>
      </c>
      <c r="B94" t="s">
        <v>544</v>
      </c>
      <c r="C94" t="s">
        <v>1</v>
      </c>
      <c r="D94" t="s">
        <v>570</v>
      </c>
      <c r="F94">
        <f t="shared" si="8"/>
        <v>1780</v>
      </c>
      <c r="G94" s="59"/>
      <c r="H94">
        <f t="shared" si="9"/>
        <v>1780</v>
      </c>
      <c r="I94" s="66" t="s">
        <v>337</v>
      </c>
      <c r="J94" s="69">
        <f t="shared" si="10"/>
        <v>0</v>
      </c>
      <c r="K94" t="str">
        <f t="shared" si="11"/>
        <v>Picks do not trigger consolidation or slot penalties.</v>
      </c>
    </row>
    <row r="95" spans="1:11">
      <c r="A95" t="s">
        <v>571</v>
      </c>
      <c r="B95" t="s">
        <v>544</v>
      </c>
      <c r="C95" t="s">
        <v>1</v>
      </c>
      <c r="D95" t="s">
        <v>571</v>
      </c>
      <c r="F95">
        <f t="shared" si="8"/>
        <v>1210</v>
      </c>
      <c r="G95" s="59"/>
      <c r="H95">
        <f t="shared" si="9"/>
        <v>1210</v>
      </c>
      <c r="I95" s="66" t="s">
        <v>337</v>
      </c>
      <c r="J95" s="69">
        <f t="shared" si="10"/>
        <v>0</v>
      </c>
      <c r="K95" t="str">
        <f t="shared" si="11"/>
        <v>Picks do not trigger consolidation or slot penalties.</v>
      </c>
    </row>
    <row r="96" spans="1:11">
      <c r="A96" t="s">
        <v>572</v>
      </c>
      <c r="B96" t="s">
        <v>544</v>
      </c>
      <c r="C96" t="s">
        <v>1</v>
      </c>
      <c r="D96" t="s">
        <v>572</v>
      </c>
      <c r="F96">
        <f t="shared" si="8"/>
        <v>1105</v>
      </c>
      <c r="G96" s="59"/>
      <c r="H96">
        <f t="shared" si="9"/>
        <v>1105</v>
      </c>
      <c r="I96" s="66" t="s">
        <v>337</v>
      </c>
      <c r="J96" s="69">
        <f t="shared" si="10"/>
        <v>0</v>
      </c>
      <c r="K96" t="str">
        <f t="shared" si="11"/>
        <v>Picks do not trigger consolidation or slot penalties.</v>
      </c>
    </row>
    <row r="97" spans="1:11">
      <c r="A97" t="s">
        <v>573</v>
      </c>
      <c r="B97" t="s">
        <v>544</v>
      </c>
      <c r="C97" t="s">
        <v>1</v>
      </c>
      <c r="D97" t="s">
        <v>573</v>
      </c>
      <c r="F97">
        <f t="shared" si="8"/>
        <v>995</v>
      </c>
      <c r="G97" s="59"/>
      <c r="H97">
        <f t="shared" si="9"/>
        <v>995</v>
      </c>
      <c r="I97" s="66" t="s">
        <v>337</v>
      </c>
      <c r="J97" s="69">
        <f t="shared" si="10"/>
        <v>0</v>
      </c>
      <c r="K97" t="str">
        <f t="shared" si="11"/>
        <v>Picks do not trigger consolidation or slot penalties.</v>
      </c>
    </row>
    <row r="98" spans="1:11">
      <c r="A98" t="s">
        <v>574</v>
      </c>
      <c r="B98" t="s">
        <v>544</v>
      </c>
      <c r="C98" t="s">
        <v>1</v>
      </c>
      <c r="D98" t="s">
        <v>574</v>
      </c>
      <c r="F98">
        <f t="shared" si="8"/>
        <v>710</v>
      </c>
      <c r="G98" s="59"/>
      <c r="H98">
        <f t="shared" si="9"/>
        <v>710</v>
      </c>
      <c r="I98" s="66" t="s">
        <v>337</v>
      </c>
      <c r="J98" s="69">
        <f t="shared" si="10"/>
        <v>0</v>
      </c>
      <c r="K98" t="str">
        <f t="shared" si="11"/>
        <v>Picks do not trigger consolidation or slot penalties.</v>
      </c>
    </row>
    <row r="99" spans="1:11">
      <c r="A99" t="s">
        <v>575</v>
      </c>
      <c r="B99" t="s">
        <v>544</v>
      </c>
      <c r="C99" t="s">
        <v>1</v>
      </c>
      <c r="D99" t="s">
        <v>575</v>
      </c>
      <c r="F99">
        <f t="shared" si="8"/>
        <v>500</v>
      </c>
      <c r="G99" s="59"/>
      <c r="H99">
        <f t="shared" si="9"/>
        <v>500</v>
      </c>
      <c r="I99" s="66" t="s">
        <v>337</v>
      </c>
      <c r="J99" s="69">
        <f t="shared" si="10"/>
        <v>0</v>
      </c>
      <c r="K99" t="str">
        <f t="shared" si="11"/>
        <v>Picks do not trigger consolidation or slot penalties.</v>
      </c>
    </row>
    <row r="100" spans="1:11">
      <c r="A100" t="s">
        <v>576</v>
      </c>
      <c r="B100" t="s">
        <v>544</v>
      </c>
      <c r="C100" t="s">
        <v>1</v>
      </c>
      <c r="D100" t="s">
        <v>576</v>
      </c>
      <c r="F100">
        <f t="shared" si="8"/>
        <v>500</v>
      </c>
      <c r="G100" s="59"/>
      <c r="H100">
        <f t="shared" si="9"/>
        <v>500</v>
      </c>
      <c r="I100" s="66" t="s">
        <v>337</v>
      </c>
      <c r="J100" s="69">
        <f t="shared" si="10"/>
        <v>0</v>
      </c>
      <c r="K100" t="str">
        <f t="shared" si="11"/>
        <v>Picks do not trigger consolidation or slot penalties.</v>
      </c>
    </row>
    <row r="101" spans="1:11">
      <c r="A101" t="s">
        <v>577</v>
      </c>
      <c r="B101" t="s">
        <v>578</v>
      </c>
      <c r="C101" t="s">
        <v>1</v>
      </c>
      <c r="D101" t="s">
        <v>577</v>
      </c>
      <c r="F101">
        <f t="shared" ref="F101:F132" si="12">IF(B101="Player",ROUND(10000/(1+0.035*(E101-1)^1.25),0),IF(B101="2026 Pick",IF(VALUE(LEFT(D101,4))=2026,IF(VALUE(MID(D101,6,FIND(".",D101)-6))=1,8600-(VALUE(RIGHT(D101,2))-1)*650,IF(VALUE(MID(D101,6,FIND(".",D101)-6))=2,5000-(VALUE(RIGHT(D101,2))-1)*250,IF(VALUE(MID(D101,6,FIND(".",D101)-6))=3,3000-(VALUE(RIGHT(D101,2))-1)*140,MAX(500,2100-(VALUE(MID(D101,6,FIND(".",D101)-6))-4)*250-(VALUE(RIGHT(D101,2))-1)*35)))),0),IF(B101="Future Pick",IF(RIGHT(D101,1)="1",IF(LEFT(D101,4)="2027",6200,5000),IF(RIGHT(D101,1)="2",IF(LEFT(D101,4)="2027",3000,2400),IF(LEFT(D101,4)="2027",1500,1200))),0)))</f>
        <v>6200</v>
      </c>
      <c r="G101" s="59"/>
      <c r="H101">
        <f t="shared" ref="H101:H132" si="13">IF(G101&lt;&gt;"",G101,ROUND(F101*(1+J101),0))</f>
        <v>6200</v>
      </c>
      <c r="I101" s="66" t="s">
        <v>337</v>
      </c>
      <c r="J101" s="69">
        <f t="shared" ref="J101:J132" si="14">IF(I101="Taxi",$N$5,0)</f>
        <v>0</v>
      </c>
      <c r="K101" t="str">
        <f t="shared" ref="K101:K132" si="15">IF(I101="Taxi","Taxi asset receives a small boost and a reduced slot penalty.",IF(I101="Regular","Occupies a regular keeper slot.","Picks do not trigger consolidation or slot penalties."))</f>
        <v>Picks do not trigger consolidation or slot penalties.</v>
      </c>
    </row>
    <row r="102" spans="1:11">
      <c r="A102" t="s">
        <v>579</v>
      </c>
      <c r="B102" t="s">
        <v>578</v>
      </c>
      <c r="C102" t="s">
        <v>1</v>
      </c>
      <c r="D102" t="s">
        <v>579</v>
      </c>
      <c r="F102">
        <f t="shared" si="12"/>
        <v>3000</v>
      </c>
      <c r="G102" s="59"/>
      <c r="H102">
        <f t="shared" si="13"/>
        <v>3000</v>
      </c>
      <c r="I102" s="66" t="s">
        <v>337</v>
      </c>
      <c r="J102" s="69">
        <f t="shared" si="14"/>
        <v>0</v>
      </c>
      <c r="K102" t="str">
        <f t="shared" si="15"/>
        <v>Picks do not trigger consolidation or slot penalties.</v>
      </c>
    </row>
    <row r="103" spans="1:11">
      <c r="A103" t="s">
        <v>580</v>
      </c>
      <c r="B103" t="s">
        <v>578</v>
      </c>
      <c r="C103" t="s">
        <v>1</v>
      </c>
      <c r="D103" t="s">
        <v>580</v>
      </c>
      <c r="F103">
        <f t="shared" si="12"/>
        <v>1500</v>
      </c>
      <c r="G103" s="59"/>
      <c r="H103">
        <f t="shared" si="13"/>
        <v>1500</v>
      </c>
      <c r="I103" s="66" t="s">
        <v>337</v>
      </c>
      <c r="J103" s="69">
        <f t="shared" si="14"/>
        <v>0</v>
      </c>
      <c r="K103" t="str">
        <f t="shared" si="15"/>
        <v>Picks do not trigger consolidation or slot penalties.</v>
      </c>
    </row>
    <row r="104" spans="1:11">
      <c r="A104" t="s">
        <v>581</v>
      </c>
      <c r="B104" t="s">
        <v>578</v>
      </c>
      <c r="C104" t="s">
        <v>98</v>
      </c>
      <c r="D104" t="s">
        <v>581</v>
      </c>
      <c r="F104">
        <f t="shared" si="12"/>
        <v>6200</v>
      </c>
      <c r="G104" s="59"/>
      <c r="H104">
        <f t="shared" si="13"/>
        <v>6200</v>
      </c>
      <c r="I104" s="66" t="s">
        <v>337</v>
      </c>
      <c r="J104" s="69">
        <f t="shared" si="14"/>
        <v>0</v>
      </c>
      <c r="K104" t="str">
        <f t="shared" si="15"/>
        <v>Picks do not trigger consolidation or slot penalties.</v>
      </c>
    </row>
    <row r="105" spans="1:11">
      <c r="A105" t="s">
        <v>582</v>
      </c>
      <c r="B105" t="s">
        <v>578</v>
      </c>
      <c r="C105" t="s">
        <v>98</v>
      </c>
      <c r="D105" t="s">
        <v>582</v>
      </c>
      <c r="F105">
        <f t="shared" si="12"/>
        <v>3000</v>
      </c>
      <c r="G105" s="59"/>
      <c r="H105">
        <f t="shared" si="13"/>
        <v>3000</v>
      </c>
      <c r="I105" s="66" t="s">
        <v>337</v>
      </c>
      <c r="J105" s="69">
        <f t="shared" si="14"/>
        <v>0</v>
      </c>
      <c r="K105" t="str">
        <f t="shared" si="15"/>
        <v>Picks do not trigger consolidation or slot penalties.</v>
      </c>
    </row>
    <row r="106" spans="1:11">
      <c r="A106" t="s">
        <v>583</v>
      </c>
      <c r="B106" t="s">
        <v>578</v>
      </c>
      <c r="C106" t="s">
        <v>98</v>
      </c>
      <c r="D106" t="s">
        <v>583</v>
      </c>
      <c r="F106">
        <f t="shared" si="12"/>
        <v>1500</v>
      </c>
      <c r="G106" s="59"/>
      <c r="H106">
        <f t="shared" si="13"/>
        <v>1500</v>
      </c>
      <c r="I106" s="66" t="s">
        <v>337</v>
      </c>
      <c r="J106" s="69">
        <f t="shared" si="14"/>
        <v>0</v>
      </c>
      <c r="K106" t="str">
        <f t="shared" si="15"/>
        <v>Picks do not trigger consolidation or slot penalties.</v>
      </c>
    </row>
    <row r="107" spans="1:11">
      <c r="A107" t="s">
        <v>584</v>
      </c>
      <c r="B107" t="s">
        <v>578</v>
      </c>
      <c r="C107" t="s">
        <v>101</v>
      </c>
      <c r="D107" t="s">
        <v>584</v>
      </c>
      <c r="F107">
        <f t="shared" si="12"/>
        <v>6200</v>
      </c>
      <c r="G107" s="59"/>
      <c r="H107">
        <f t="shared" si="13"/>
        <v>6200</v>
      </c>
      <c r="I107" s="66" t="s">
        <v>337</v>
      </c>
      <c r="J107" s="69">
        <f t="shared" si="14"/>
        <v>0</v>
      </c>
      <c r="K107" t="str">
        <f t="shared" si="15"/>
        <v>Picks do not trigger consolidation or slot penalties.</v>
      </c>
    </row>
    <row r="108" spans="1:11">
      <c r="A108" t="s">
        <v>585</v>
      </c>
      <c r="B108" t="s">
        <v>578</v>
      </c>
      <c r="C108" t="s">
        <v>101</v>
      </c>
      <c r="D108" t="s">
        <v>585</v>
      </c>
      <c r="F108">
        <f t="shared" si="12"/>
        <v>3000</v>
      </c>
      <c r="G108" s="59"/>
      <c r="H108">
        <f t="shared" si="13"/>
        <v>3000</v>
      </c>
      <c r="I108" s="66" t="s">
        <v>337</v>
      </c>
      <c r="J108" s="69">
        <f t="shared" si="14"/>
        <v>0</v>
      </c>
      <c r="K108" t="str">
        <f t="shared" si="15"/>
        <v>Picks do not trigger consolidation or slot penalties.</v>
      </c>
    </row>
    <row r="109" spans="1:11">
      <c r="A109" t="s">
        <v>586</v>
      </c>
      <c r="B109" t="s">
        <v>578</v>
      </c>
      <c r="C109" t="s">
        <v>101</v>
      </c>
      <c r="D109" t="s">
        <v>586</v>
      </c>
      <c r="F109">
        <f t="shared" si="12"/>
        <v>1500</v>
      </c>
      <c r="G109" s="59"/>
      <c r="H109">
        <f t="shared" si="13"/>
        <v>1500</v>
      </c>
      <c r="I109" s="66" t="s">
        <v>337</v>
      </c>
      <c r="J109" s="69">
        <f t="shared" si="14"/>
        <v>0</v>
      </c>
      <c r="K109" t="str">
        <f t="shared" si="15"/>
        <v>Picks do not trigger consolidation or slot penalties.</v>
      </c>
    </row>
    <row r="110" spans="1:11">
      <c r="A110" t="s">
        <v>587</v>
      </c>
      <c r="B110" t="s">
        <v>578</v>
      </c>
      <c r="C110" t="s">
        <v>104</v>
      </c>
      <c r="D110" t="s">
        <v>587</v>
      </c>
      <c r="F110">
        <f t="shared" si="12"/>
        <v>6200</v>
      </c>
      <c r="G110" s="59"/>
      <c r="H110">
        <f t="shared" si="13"/>
        <v>6200</v>
      </c>
      <c r="I110" s="66" t="s">
        <v>337</v>
      </c>
      <c r="J110" s="69">
        <f t="shared" si="14"/>
        <v>0</v>
      </c>
      <c r="K110" t="str">
        <f t="shared" si="15"/>
        <v>Picks do not trigger consolidation or slot penalties.</v>
      </c>
    </row>
    <row r="111" spans="1:11">
      <c r="A111" t="s">
        <v>588</v>
      </c>
      <c r="B111" t="s">
        <v>578</v>
      </c>
      <c r="C111" t="s">
        <v>104</v>
      </c>
      <c r="D111" t="s">
        <v>588</v>
      </c>
      <c r="F111">
        <f t="shared" si="12"/>
        <v>3000</v>
      </c>
      <c r="G111" s="59"/>
      <c r="H111">
        <f t="shared" si="13"/>
        <v>3000</v>
      </c>
      <c r="I111" s="66" t="s">
        <v>337</v>
      </c>
      <c r="J111" s="69">
        <f t="shared" si="14"/>
        <v>0</v>
      </c>
      <c r="K111" t="str">
        <f t="shared" si="15"/>
        <v>Picks do not trigger consolidation or slot penalties.</v>
      </c>
    </row>
    <row r="112" spans="1:11">
      <c r="A112" t="s">
        <v>589</v>
      </c>
      <c r="B112" t="s">
        <v>578</v>
      </c>
      <c r="C112" t="s">
        <v>104</v>
      </c>
      <c r="D112" t="s">
        <v>589</v>
      </c>
      <c r="F112">
        <f t="shared" si="12"/>
        <v>1500</v>
      </c>
      <c r="G112" s="59"/>
      <c r="H112">
        <f t="shared" si="13"/>
        <v>1500</v>
      </c>
      <c r="I112" s="66" t="s">
        <v>337</v>
      </c>
      <c r="J112" s="69">
        <f t="shared" si="14"/>
        <v>0</v>
      </c>
      <c r="K112" t="str">
        <f t="shared" si="15"/>
        <v>Picks do not trigger consolidation or slot penalties.</v>
      </c>
    </row>
    <row r="113" spans="1:11">
      <c r="A113" t="s">
        <v>590</v>
      </c>
      <c r="B113" t="s">
        <v>578</v>
      </c>
      <c r="C113" t="s">
        <v>107</v>
      </c>
      <c r="D113" t="s">
        <v>590</v>
      </c>
      <c r="F113">
        <f t="shared" si="12"/>
        <v>6200</v>
      </c>
      <c r="G113" s="59"/>
      <c r="H113">
        <f t="shared" si="13"/>
        <v>6200</v>
      </c>
      <c r="I113" s="66" t="s">
        <v>337</v>
      </c>
      <c r="J113" s="69">
        <f t="shared" si="14"/>
        <v>0</v>
      </c>
      <c r="K113" t="str">
        <f t="shared" si="15"/>
        <v>Picks do not trigger consolidation or slot penalties.</v>
      </c>
    </row>
    <row r="114" spans="1:11">
      <c r="A114" t="s">
        <v>591</v>
      </c>
      <c r="B114" t="s">
        <v>578</v>
      </c>
      <c r="C114" t="s">
        <v>107</v>
      </c>
      <c r="D114" t="s">
        <v>591</v>
      </c>
      <c r="F114">
        <f t="shared" si="12"/>
        <v>3000</v>
      </c>
      <c r="G114" s="59"/>
      <c r="H114">
        <f t="shared" si="13"/>
        <v>3000</v>
      </c>
      <c r="I114" s="66" t="s">
        <v>337</v>
      </c>
      <c r="J114" s="69">
        <f t="shared" si="14"/>
        <v>0</v>
      </c>
      <c r="K114" t="str">
        <f t="shared" si="15"/>
        <v>Picks do not trigger consolidation or slot penalties.</v>
      </c>
    </row>
    <row r="115" spans="1:11">
      <c r="A115" t="s">
        <v>592</v>
      </c>
      <c r="B115" t="s">
        <v>578</v>
      </c>
      <c r="C115" t="s">
        <v>107</v>
      </c>
      <c r="D115" t="s">
        <v>592</v>
      </c>
      <c r="F115">
        <f t="shared" si="12"/>
        <v>1500</v>
      </c>
      <c r="G115" s="59"/>
      <c r="H115">
        <f t="shared" si="13"/>
        <v>1500</v>
      </c>
      <c r="I115" s="66" t="s">
        <v>337</v>
      </c>
      <c r="J115" s="69">
        <f t="shared" si="14"/>
        <v>0</v>
      </c>
      <c r="K115" t="str">
        <f t="shared" si="15"/>
        <v>Picks do not trigger consolidation or slot penalties.</v>
      </c>
    </row>
    <row r="116" spans="1:11">
      <c r="A116" t="s">
        <v>593</v>
      </c>
      <c r="B116" t="s">
        <v>578</v>
      </c>
      <c r="C116" t="s">
        <v>110</v>
      </c>
      <c r="D116" t="s">
        <v>593</v>
      </c>
      <c r="F116">
        <f t="shared" si="12"/>
        <v>6200</v>
      </c>
      <c r="G116" s="59"/>
      <c r="H116">
        <f t="shared" si="13"/>
        <v>6200</v>
      </c>
      <c r="I116" s="66" t="s">
        <v>337</v>
      </c>
      <c r="J116" s="69">
        <f t="shared" si="14"/>
        <v>0</v>
      </c>
      <c r="K116" t="str">
        <f t="shared" si="15"/>
        <v>Picks do not trigger consolidation or slot penalties.</v>
      </c>
    </row>
    <row r="117" spans="1:11">
      <c r="A117" t="s">
        <v>594</v>
      </c>
      <c r="B117" t="s">
        <v>578</v>
      </c>
      <c r="C117" t="s">
        <v>110</v>
      </c>
      <c r="D117" t="s">
        <v>594</v>
      </c>
      <c r="F117">
        <f t="shared" si="12"/>
        <v>3000</v>
      </c>
      <c r="G117" s="59"/>
      <c r="H117">
        <f t="shared" si="13"/>
        <v>3000</v>
      </c>
      <c r="I117" s="66" t="s">
        <v>337</v>
      </c>
      <c r="J117" s="69">
        <f t="shared" si="14"/>
        <v>0</v>
      </c>
      <c r="K117" t="str">
        <f t="shared" si="15"/>
        <v>Picks do not trigger consolidation or slot penalties.</v>
      </c>
    </row>
    <row r="118" spans="1:11">
      <c r="A118" t="s">
        <v>595</v>
      </c>
      <c r="B118" t="s">
        <v>578</v>
      </c>
      <c r="C118" t="s">
        <v>110</v>
      </c>
      <c r="D118" t="s">
        <v>595</v>
      </c>
      <c r="F118">
        <f t="shared" si="12"/>
        <v>1500</v>
      </c>
      <c r="G118" s="59"/>
      <c r="H118">
        <f t="shared" si="13"/>
        <v>1500</v>
      </c>
      <c r="I118" s="66" t="s">
        <v>337</v>
      </c>
      <c r="J118" s="69">
        <f t="shared" si="14"/>
        <v>0</v>
      </c>
      <c r="K118" t="str">
        <f t="shared" si="15"/>
        <v>Picks do not trigger consolidation or slot penalties.</v>
      </c>
    </row>
    <row r="119" spans="1:11">
      <c r="A119" t="s">
        <v>596</v>
      </c>
      <c r="B119" t="s">
        <v>578</v>
      </c>
      <c r="C119" t="s">
        <v>3</v>
      </c>
      <c r="D119" t="s">
        <v>596</v>
      </c>
      <c r="F119">
        <f t="shared" si="12"/>
        <v>6200</v>
      </c>
      <c r="G119" s="59"/>
      <c r="H119">
        <f t="shared" si="13"/>
        <v>6200</v>
      </c>
      <c r="I119" s="66" t="s">
        <v>337</v>
      </c>
      <c r="J119" s="69">
        <f t="shared" si="14"/>
        <v>0</v>
      </c>
      <c r="K119" t="str">
        <f t="shared" si="15"/>
        <v>Picks do not trigger consolidation or slot penalties.</v>
      </c>
    </row>
    <row r="120" spans="1:11">
      <c r="A120" t="s">
        <v>597</v>
      </c>
      <c r="B120" t="s">
        <v>578</v>
      </c>
      <c r="C120" t="s">
        <v>3</v>
      </c>
      <c r="D120" t="s">
        <v>597</v>
      </c>
      <c r="F120">
        <f t="shared" si="12"/>
        <v>3000</v>
      </c>
      <c r="G120" s="59"/>
      <c r="H120">
        <f t="shared" si="13"/>
        <v>3000</v>
      </c>
      <c r="I120" s="66" t="s">
        <v>337</v>
      </c>
      <c r="J120" s="69">
        <f t="shared" si="14"/>
        <v>0</v>
      </c>
      <c r="K120" t="str">
        <f t="shared" si="15"/>
        <v>Picks do not trigger consolidation or slot penalties.</v>
      </c>
    </row>
    <row r="121" spans="1:11">
      <c r="A121" t="s">
        <v>598</v>
      </c>
      <c r="B121" t="s">
        <v>578</v>
      </c>
      <c r="C121" t="s">
        <v>3</v>
      </c>
      <c r="D121" t="s">
        <v>598</v>
      </c>
      <c r="F121">
        <f t="shared" si="12"/>
        <v>1500</v>
      </c>
      <c r="G121" s="59"/>
      <c r="H121">
        <f t="shared" si="13"/>
        <v>1500</v>
      </c>
      <c r="I121" s="66" t="s">
        <v>337</v>
      </c>
      <c r="J121" s="69">
        <f t="shared" si="14"/>
        <v>0</v>
      </c>
      <c r="K121" t="str">
        <f t="shared" si="15"/>
        <v>Picks do not trigger consolidation or slot penalties.</v>
      </c>
    </row>
    <row r="122" spans="1:11">
      <c r="A122" t="s">
        <v>599</v>
      </c>
      <c r="B122" t="s">
        <v>578</v>
      </c>
      <c r="C122" t="s">
        <v>2</v>
      </c>
      <c r="D122" t="s">
        <v>599</v>
      </c>
      <c r="F122">
        <f t="shared" si="12"/>
        <v>6200</v>
      </c>
      <c r="G122" s="59"/>
      <c r="H122">
        <f t="shared" si="13"/>
        <v>6200</v>
      </c>
      <c r="I122" s="66" t="s">
        <v>337</v>
      </c>
      <c r="J122" s="69">
        <f t="shared" si="14"/>
        <v>0</v>
      </c>
      <c r="K122" t="str">
        <f t="shared" si="15"/>
        <v>Picks do not trigger consolidation or slot penalties.</v>
      </c>
    </row>
    <row r="123" spans="1:11">
      <c r="A123" t="s">
        <v>600</v>
      </c>
      <c r="B123" t="s">
        <v>578</v>
      </c>
      <c r="C123" t="s">
        <v>2</v>
      </c>
      <c r="D123" t="s">
        <v>600</v>
      </c>
      <c r="F123">
        <f t="shared" si="12"/>
        <v>3000</v>
      </c>
      <c r="G123" s="59"/>
      <c r="H123">
        <f t="shared" si="13"/>
        <v>3000</v>
      </c>
      <c r="I123" s="66" t="s">
        <v>337</v>
      </c>
      <c r="J123" s="69">
        <f t="shared" si="14"/>
        <v>0</v>
      </c>
      <c r="K123" t="str">
        <f t="shared" si="15"/>
        <v>Picks do not trigger consolidation or slot penalties.</v>
      </c>
    </row>
    <row r="124" spans="1:11">
      <c r="A124" t="s">
        <v>601</v>
      </c>
      <c r="B124" t="s">
        <v>578</v>
      </c>
      <c r="C124" t="s">
        <v>2</v>
      </c>
      <c r="D124" t="s">
        <v>601</v>
      </c>
      <c r="F124">
        <f t="shared" si="12"/>
        <v>1500</v>
      </c>
      <c r="G124" s="59"/>
      <c r="H124">
        <f t="shared" si="13"/>
        <v>1500</v>
      </c>
      <c r="I124" s="66" t="s">
        <v>337</v>
      </c>
      <c r="J124" s="69">
        <f t="shared" si="14"/>
        <v>0</v>
      </c>
      <c r="K124" t="str">
        <f t="shared" si="15"/>
        <v>Picks do not trigger consolidation or slot penalties.</v>
      </c>
    </row>
    <row r="125" spans="1:11">
      <c r="A125" t="s">
        <v>602</v>
      </c>
      <c r="B125" t="s">
        <v>578</v>
      </c>
      <c r="C125" t="s">
        <v>1</v>
      </c>
      <c r="D125" t="s">
        <v>602</v>
      </c>
      <c r="F125">
        <f t="shared" si="12"/>
        <v>5000</v>
      </c>
      <c r="G125" s="59"/>
      <c r="H125">
        <f t="shared" si="13"/>
        <v>5000</v>
      </c>
      <c r="I125" s="66" t="s">
        <v>337</v>
      </c>
      <c r="J125" s="69">
        <f t="shared" si="14"/>
        <v>0</v>
      </c>
      <c r="K125" t="str">
        <f t="shared" si="15"/>
        <v>Picks do not trigger consolidation or slot penalties.</v>
      </c>
    </row>
    <row r="126" spans="1:11">
      <c r="A126" t="s">
        <v>603</v>
      </c>
      <c r="B126" t="s">
        <v>578</v>
      </c>
      <c r="C126" t="s">
        <v>1</v>
      </c>
      <c r="D126" t="s">
        <v>603</v>
      </c>
      <c r="F126">
        <f t="shared" si="12"/>
        <v>2400</v>
      </c>
      <c r="G126" s="59"/>
      <c r="H126">
        <f t="shared" si="13"/>
        <v>2400</v>
      </c>
      <c r="I126" s="66" t="s">
        <v>337</v>
      </c>
      <c r="J126" s="69">
        <f t="shared" si="14"/>
        <v>0</v>
      </c>
      <c r="K126" t="str">
        <f t="shared" si="15"/>
        <v>Picks do not trigger consolidation or slot penalties.</v>
      </c>
    </row>
    <row r="127" spans="1:11">
      <c r="A127" t="s">
        <v>604</v>
      </c>
      <c r="B127" t="s">
        <v>578</v>
      </c>
      <c r="C127" t="s">
        <v>1</v>
      </c>
      <c r="D127" t="s">
        <v>604</v>
      </c>
      <c r="F127">
        <f t="shared" si="12"/>
        <v>1200</v>
      </c>
      <c r="G127" s="59"/>
      <c r="H127">
        <f t="shared" si="13"/>
        <v>1200</v>
      </c>
      <c r="I127" s="66" t="s">
        <v>337</v>
      </c>
      <c r="J127" s="69">
        <f t="shared" si="14"/>
        <v>0</v>
      </c>
      <c r="K127" t="str">
        <f t="shared" si="15"/>
        <v>Picks do not trigger consolidation or slot penalties.</v>
      </c>
    </row>
    <row r="128" spans="1:11">
      <c r="A128" t="s">
        <v>605</v>
      </c>
      <c r="B128" t="s">
        <v>578</v>
      </c>
      <c r="C128" t="s">
        <v>98</v>
      </c>
      <c r="D128" t="s">
        <v>605</v>
      </c>
      <c r="F128">
        <f t="shared" si="12"/>
        <v>5000</v>
      </c>
      <c r="G128" s="59"/>
      <c r="H128">
        <f t="shared" si="13"/>
        <v>5000</v>
      </c>
      <c r="I128" s="66" t="s">
        <v>337</v>
      </c>
      <c r="J128" s="69">
        <f t="shared" si="14"/>
        <v>0</v>
      </c>
      <c r="K128" t="str">
        <f t="shared" si="15"/>
        <v>Picks do not trigger consolidation or slot penalties.</v>
      </c>
    </row>
    <row r="129" spans="1:11">
      <c r="A129" t="s">
        <v>606</v>
      </c>
      <c r="B129" t="s">
        <v>578</v>
      </c>
      <c r="C129" t="s">
        <v>98</v>
      </c>
      <c r="D129" t="s">
        <v>606</v>
      </c>
      <c r="F129">
        <f t="shared" si="12"/>
        <v>2400</v>
      </c>
      <c r="G129" s="59"/>
      <c r="H129">
        <f t="shared" si="13"/>
        <v>2400</v>
      </c>
      <c r="I129" s="66" t="s">
        <v>337</v>
      </c>
      <c r="J129" s="69">
        <f t="shared" si="14"/>
        <v>0</v>
      </c>
      <c r="K129" t="str">
        <f t="shared" si="15"/>
        <v>Picks do not trigger consolidation or slot penalties.</v>
      </c>
    </row>
    <row r="130" spans="1:11">
      <c r="A130" t="s">
        <v>607</v>
      </c>
      <c r="B130" t="s">
        <v>578</v>
      </c>
      <c r="C130" t="s">
        <v>98</v>
      </c>
      <c r="D130" t="s">
        <v>607</v>
      </c>
      <c r="F130">
        <f t="shared" si="12"/>
        <v>1200</v>
      </c>
      <c r="G130" s="59"/>
      <c r="H130">
        <f t="shared" si="13"/>
        <v>1200</v>
      </c>
      <c r="I130" s="66" t="s">
        <v>337</v>
      </c>
      <c r="J130" s="69">
        <f t="shared" si="14"/>
        <v>0</v>
      </c>
      <c r="K130" t="str">
        <f t="shared" si="15"/>
        <v>Picks do not trigger consolidation or slot penalties.</v>
      </c>
    </row>
    <row r="131" spans="1:11">
      <c r="A131" t="s">
        <v>608</v>
      </c>
      <c r="B131" t="s">
        <v>578</v>
      </c>
      <c r="C131" t="s">
        <v>101</v>
      </c>
      <c r="D131" t="s">
        <v>608</v>
      </c>
      <c r="F131">
        <f t="shared" si="12"/>
        <v>5000</v>
      </c>
      <c r="G131" s="59"/>
      <c r="H131">
        <f t="shared" si="13"/>
        <v>5000</v>
      </c>
      <c r="I131" s="66" t="s">
        <v>337</v>
      </c>
      <c r="J131" s="69">
        <f t="shared" si="14"/>
        <v>0</v>
      </c>
      <c r="K131" t="str">
        <f t="shared" si="15"/>
        <v>Picks do not trigger consolidation or slot penalties.</v>
      </c>
    </row>
    <row r="132" spans="1:11">
      <c r="A132" t="s">
        <v>609</v>
      </c>
      <c r="B132" t="s">
        <v>578</v>
      </c>
      <c r="C132" t="s">
        <v>101</v>
      </c>
      <c r="D132" t="s">
        <v>609</v>
      </c>
      <c r="F132">
        <f t="shared" si="12"/>
        <v>2400</v>
      </c>
      <c r="G132" s="59"/>
      <c r="H132">
        <f t="shared" si="13"/>
        <v>2400</v>
      </c>
      <c r="I132" s="66" t="s">
        <v>337</v>
      </c>
      <c r="J132" s="69">
        <f t="shared" si="14"/>
        <v>0</v>
      </c>
      <c r="K132" t="str">
        <f t="shared" si="15"/>
        <v>Picks do not trigger consolidation or slot penalties.</v>
      </c>
    </row>
    <row r="133" spans="1:11">
      <c r="A133" t="s">
        <v>610</v>
      </c>
      <c r="B133" t="s">
        <v>578</v>
      </c>
      <c r="C133" t="s">
        <v>101</v>
      </c>
      <c r="D133" t="s">
        <v>610</v>
      </c>
      <c r="F133">
        <f t="shared" ref="F133:F164" si="16">IF(B133="Player",ROUND(10000/(1+0.035*(E133-1)^1.25),0),IF(B133="2026 Pick",IF(VALUE(LEFT(D133,4))=2026,IF(VALUE(MID(D133,6,FIND(".",D133)-6))=1,8600-(VALUE(RIGHT(D133,2))-1)*650,IF(VALUE(MID(D133,6,FIND(".",D133)-6))=2,5000-(VALUE(RIGHT(D133,2))-1)*250,IF(VALUE(MID(D133,6,FIND(".",D133)-6))=3,3000-(VALUE(RIGHT(D133,2))-1)*140,MAX(500,2100-(VALUE(MID(D133,6,FIND(".",D133)-6))-4)*250-(VALUE(RIGHT(D133,2))-1)*35)))),0),IF(B133="Future Pick",IF(RIGHT(D133,1)="1",IF(LEFT(D133,4)="2027",6200,5000),IF(RIGHT(D133,1)="2",IF(LEFT(D133,4)="2027",3000,2400),IF(LEFT(D133,4)="2027",1500,1200))),0)))</f>
        <v>1200</v>
      </c>
      <c r="G133" s="59"/>
      <c r="H133">
        <f t="shared" ref="H133:H164" si="17">IF(G133&lt;&gt;"",G133,ROUND(F133*(1+J133),0))</f>
        <v>1200</v>
      </c>
      <c r="I133" s="66" t="s">
        <v>337</v>
      </c>
      <c r="J133" s="69">
        <f t="shared" ref="J133:J164" si="18">IF(I133="Taxi",$N$5,0)</f>
        <v>0</v>
      </c>
      <c r="K133" t="str">
        <f t="shared" ref="K133:K148" si="19">IF(I133="Taxi","Taxi asset receives a small boost and a reduced slot penalty.",IF(I133="Regular","Occupies a regular keeper slot.","Picks do not trigger consolidation or slot penalties."))</f>
        <v>Picks do not trigger consolidation or slot penalties.</v>
      </c>
    </row>
    <row r="134" spans="1:11">
      <c r="A134" t="s">
        <v>611</v>
      </c>
      <c r="B134" t="s">
        <v>578</v>
      </c>
      <c r="C134" t="s">
        <v>104</v>
      </c>
      <c r="D134" t="s">
        <v>611</v>
      </c>
      <c r="F134">
        <f t="shared" si="16"/>
        <v>5000</v>
      </c>
      <c r="G134" s="59"/>
      <c r="H134">
        <f t="shared" si="17"/>
        <v>5000</v>
      </c>
      <c r="I134" s="66" t="s">
        <v>337</v>
      </c>
      <c r="J134" s="69">
        <f t="shared" si="18"/>
        <v>0</v>
      </c>
      <c r="K134" t="str">
        <f t="shared" si="19"/>
        <v>Picks do not trigger consolidation or slot penalties.</v>
      </c>
    </row>
    <row r="135" spans="1:11">
      <c r="A135" t="s">
        <v>612</v>
      </c>
      <c r="B135" t="s">
        <v>578</v>
      </c>
      <c r="C135" t="s">
        <v>104</v>
      </c>
      <c r="D135" t="s">
        <v>612</v>
      </c>
      <c r="F135">
        <f t="shared" si="16"/>
        <v>2400</v>
      </c>
      <c r="G135" s="59"/>
      <c r="H135">
        <f t="shared" si="17"/>
        <v>2400</v>
      </c>
      <c r="I135" s="66" t="s">
        <v>337</v>
      </c>
      <c r="J135" s="69">
        <f t="shared" si="18"/>
        <v>0</v>
      </c>
      <c r="K135" t="str">
        <f t="shared" si="19"/>
        <v>Picks do not trigger consolidation or slot penalties.</v>
      </c>
    </row>
    <row r="136" spans="1:11">
      <c r="A136" t="s">
        <v>613</v>
      </c>
      <c r="B136" t="s">
        <v>578</v>
      </c>
      <c r="C136" t="s">
        <v>104</v>
      </c>
      <c r="D136" t="s">
        <v>613</v>
      </c>
      <c r="F136">
        <f t="shared" si="16"/>
        <v>1200</v>
      </c>
      <c r="G136" s="59"/>
      <c r="H136">
        <f t="shared" si="17"/>
        <v>1200</v>
      </c>
      <c r="I136" s="66" t="s">
        <v>337</v>
      </c>
      <c r="J136" s="69">
        <f t="shared" si="18"/>
        <v>0</v>
      </c>
      <c r="K136" t="str">
        <f t="shared" si="19"/>
        <v>Picks do not trigger consolidation or slot penalties.</v>
      </c>
    </row>
    <row r="137" spans="1:11">
      <c r="A137" t="s">
        <v>614</v>
      </c>
      <c r="B137" t="s">
        <v>578</v>
      </c>
      <c r="C137" t="s">
        <v>107</v>
      </c>
      <c r="D137" t="s">
        <v>614</v>
      </c>
      <c r="F137">
        <f t="shared" si="16"/>
        <v>5000</v>
      </c>
      <c r="G137" s="59"/>
      <c r="H137">
        <f t="shared" si="17"/>
        <v>5000</v>
      </c>
      <c r="I137" s="66" t="s">
        <v>337</v>
      </c>
      <c r="J137" s="69">
        <f t="shared" si="18"/>
        <v>0</v>
      </c>
      <c r="K137" t="str">
        <f t="shared" si="19"/>
        <v>Picks do not trigger consolidation or slot penalties.</v>
      </c>
    </row>
    <row r="138" spans="1:11">
      <c r="A138" t="s">
        <v>615</v>
      </c>
      <c r="B138" t="s">
        <v>578</v>
      </c>
      <c r="C138" t="s">
        <v>107</v>
      </c>
      <c r="D138" t="s">
        <v>615</v>
      </c>
      <c r="F138">
        <f t="shared" si="16"/>
        <v>2400</v>
      </c>
      <c r="G138" s="59"/>
      <c r="H138">
        <f t="shared" si="17"/>
        <v>2400</v>
      </c>
      <c r="I138" s="66" t="s">
        <v>337</v>
      </c>
      <c r="J138" s="69">
        <f t="shared" si="18"/>
        <v>0</v>
      </c>
      <c r="K138" t="str">
        <f t="shared" si="19"/>
        <v>Picks do not trigger consolidation or slot penalties.</v>
      </c>
    </row>
    <row r="139" spans="1:11">
      <c r="A139" t="s">
        <v>616</v>
      </c>
      <c r="B139" t="s">
        <v>578</v>
      </c>
      <c r="C139" t="s">
        <v>107</v>
      </c>
      <c r="D139" t="s">
        <v>616</v>
      </c>
      <c r="F139">
        <f t="shared" si="16"/>
        <v>1200</v>
      </c>
      <c r="G139" s="59"/>
      <c r="H139">
        <f t="shared" si="17"/>
        <v>1200</v>
      </c>
      <c r="I139" s="66" t="s">
        <v>337</v>
      </c>
      <c r="J139" s="69">
        <f t="shared" si="18"/>
        <v>0</v>
      </c>
      <c r="K139" t="str">
        <f t="shared" si="19"/>
        <v>Picks do not trigger consolidation or slot penalties.</v>
      </c>
    </row>
    <row r="140" spans="1:11">
      <c r="A140" t="s">
        <v>617</v>
      </c>
      <c r="B140" t="s">
        <v>578</v>
      </c>
      <c r="C140" t="s">
        <v>110</v>
      </c>
      <c r="D140" t="s">
        <v>617</v>
      </c>
      <c r="F140">
        <f t="shared" si="16"/>
        <v>5000</v>
      </c>
      <c r="G140" s="59"/>
      <c r="H140">
        <f t="shared" si="17"/>
        <v>5000</v>
      </c>
      <c r="I140" s="66" t="s">
        <v>337</v>
      </c>
      <c r="J140" s="69">
        <f t="shared" si="18"/>
        <v>0</v>
      </c>
      <c r="K140" t="str">
        <f t="shared" si="19"/>
        <v>Picks do not trigger consolidation or slot penalties.</v>
      </c>
    </row>
    <row r="141" spans="1:11">
      <c r="A141" t="s">
        <v>618</v>
      </c>
      <c r="B141" t="s">
        <v>578</v>
      </c>
      <c r="C141" t="s">
        <v>110</v>
      </c>
      <c r="D141" t="s">
        <v>618</v>
      </c>
      <c r="F141">
        <f t="shared" si="16"/>
        <v>2400</v>
      </c>
      <c r="G141" s="59"/>
      <c r="H141">
        <f t="shared" si="17"/>
        <v>2400</v>
      </c>
      <c r="I141" s="66" t="s">
        <v>337</v>
      </c>
      <c r="J141" s="69">
        <f t="shared" si="18"/>
        <v>0</v>
      </c>
      <c r="K141" t="str">
        <f t="shared" si="19"/>
        <v>Picks do not trigger consolidation or slot penalties.</v>
      </c>
    </row>
    <row r="142" spans="1:11">
      <c r="A142" t="s">
        <v>619</v>
      </c>
      <c r="B142" t="s">
        <v>578</v>
      </c>
      <c r="C142" t="s">
        <v>110</v>
      </c>
      <c r="D142" t="s">
        <v>619</v>
      </c>
      <c r="F142">
        <f t="shared" si="16"/>
        <v>1200</v>
      </c>
      <c r="G142" s="59"/>
      <c r="H142">
        <f t="shared" si="17"/>
        <v>1200</v>
      </c>
      <c r="I142" s="66" t="s">
        <v>337</v>
      </c>
      <c r="J142" s="69">
        <f t="shared" si="18"/>
        <v>0</v>
      </c>
      <c r="K142" t="str">
        <f t="shared" si="19"/>
        <v>Picks do not trigger consolidation or slot penalties.</v>
      </c>
    </row>
    <row r="143" spans="1:11">
      <c r="A143" t="s">
        <v>620</v>
      </c>
      <c r="B143" t="s">
        <v>578</v>
      </c>
      <c r="C143" t="s">
        <v>3</v>
      </c>
      <c r="D143" t="s">
        <v>620</v>
      </c>
      <c r="F143">
        <f t="shared" si="16"/>
        <v>5000</v>
      </c>
      <c r="G143" s="59"/>
      <c r="H143">
        <f t="shared" si="17"/>
        <v>5000</v>
      </c>
      <c r="I143" s="66" t="s">
        <v>337</v>
      </c>
      <c r="J143" s="69">
        <f t="shared" si="18"/>
        <v>0</v>
      </c>
      <c r="K143" t="str">
        <f t="shared" si="19"/>
        <v>Picks do not trigger consolidation or slot penalties.</v>
      </c>
    </row>
    <row r="144" spans="1:11">
      <c r="A144" t="s">
        <v>621</v>
      </c>
      <c r="B144" t="s">
        <v>578</v>
      </c>
      <c r="C144" t="s">
        <v>3</v>
      </c>
      <c r="D144" t="s">
        <v>621</v>
      </c>
      <c r="F144">
        <f t="shared" si="16"/>
        <v>2400</v>
      </c>
      <c r="G144" s="59"/>
      <c r="H144">
        <f t="shared" si="17"/>
        <v>2400</v>
      </c>
      <c r="I144" s="66" t="s">
        <v>337</v>
      </c>
      <c r="J144" s="69">
        <f t="shared" si="18"/>
        <v>0</v>
      </c>
      <c r="K144" t="str">
        <f t="shared" si="19"/>
        <v>Picks do not trigger consolidation or slot penalties.</v>
      </c>
    </row>
    <row r="145" spans="1:11">
      <c r="A145" t="s">
        <v>622</v>
      </c>
      <c r="B145" t="s">
        <v>578</v>
      </c>
      <c r="C145" t="s">
        <v>3</v>
      </c>
      <c r="D145" t="s">
        <v>622</v>
      </c>
      <c r="F145">
        <f t="shared" si="16"/>
        <v>1200</v>
      </c>
      <c r="G145" s="59"/>
      <c r="H145">
        <f t="shared" si="17"/>
        <v>1200</v>
      </c>
      <c r="I145" s="66" t="s">
        <v>337</v>
      </c>
      <c r="J145" s="69">
        <f t="shared" si="18"/>
        <v>0</v>
      </c>
      <c r="K145" t="str">
        <f t="shared" si="19"/>
        <v>Picks do not trigger consolidation or slot penalties.</v>
      </c>
    </row>
    <row r="146" spans="1:11">
      <c r="A146" t="s">
        <v>623</v>
      </c>
      <c r="B146" t="s">
        <v>578</v>
      </c>
      <c r="C146" t="s">
        <v>2</v>
      </c>
      <c r="D146" t="s">
        <v>623</v>
      </c>
      <c r="F146">
        <f t="shared" si="16"/>
        <v>5000</v>
      </c>
      <c r="G146" s="59"/>
      <c r="H146">
        <f t="shared" si="17"/>
        <v>5000</v>
      </c>
      <c r="I146" s="66" t="s">
        <v>337</v>
      </c>
      <c r="J146" s="69">
        <f t="shared" si="18"/>
        <v>0</v>
      </c>
      <c r="K146" t="str">
        <f t="shared" si="19"/>
        <v>Picks do not trigger consolidation or slot penalties.</v>
      </c>
    </row>
    <row r="147" spans="1:11">
      <c r="A147" t="s">
        <v>624</v>
      </c>
      <c r="B147" t="s">
        <v>578</v>
      </c>
      <c r="C147" t="s">
        <v>2</v>
      </c>
      <c r="D147" t="s">
        <v>624</v>
      </c>
      <c r="F147">
        <f t="shared" si="16"/>
        <v>2400</v>
      </c>
      <c r="G147" s="59"/>
      <c r="H147">
        <f t="shared" si="17"/>
        <v>2400</v>
      </c>
      <c r="I147" s="66" t="s">
        <v>337</v>
      </c>
      <c r="J147" s="69">
        <f t="shared" si="18"/>
        <v>0</v>
      </c>
      <c r="K147" t="str">
        <f t="shared" si="19"/>
        <v>Picks do not trigger consolidation or slot penalties.</v>
      </c>
    </row>
    <row r="148" spans="1:11">
      <c r="A148" t="s">
        <v>625</v>
      </c>
      <c r="B148" t="s">
        <v>578</v>
      </c>
      <c r="C148" t="s">
        <v>2</v>
      </c>
      <c r="D148" t="s">
        <v>625</v>
      </c>
      <c r="F148">
        <f t="shared" si="16"/>
        <v>1200</v>
      </c>
      <c r="G148" s="59"/>
      <c r="H148">
        <f t="shared" si="17"/>
        <v>1200</v>
      </c>
      <c r="I148" s="66" t="s">
        <v>337</v>
      </c>
      <c r="J148" s="69">
        <f t="shared" si="18"/>
        <v>0</v>
      </c>
      <c r="K148" t="str">
        <f t="shared" si="19"/>
        <v>Picks do not trigger consolidation or slot penalties.</v>
      </c>
    </row>
  </sheetData>
  <mergeCells count="2">
    <mergeCell ref="A1:H1"/>
    <mergeCell ref="A2:H2"/>
  </mergeCells>
  <conditionalFormatting sqref="C5:C148">
    <cfRule type="expression" dxfId="72" priority="1">
      <formula>C5="Noah"</formula>
    </cfRule>
    <cfRule type="expression" dxfId="71" priority="2">
      <formula>C5="Colby"</formula>
    </cfRule>
    <cfRule type="expression" dxfId="70" priority="3">
      <formula>C5="Adam"</formula>
    </cfRule>
    <cfRule type="expression" dxfId="69" priority="4">
      <formula>C5="Jacob"</formula>
    </cfRule>
    <cfRule type="expression" dxfId="68" priority="5">
      <formula>C5="Medhansh"</formula>
    </cfRule>
    <cfRule type="expression" dxfId="67" priority="6">
      <formula>C5="Luke"</formula>
    </cfRule>
    <cfRule type="expression" dxfId="66" priority="7">
      <formula>C5="Spohn"</formula>
    </cfRule>
    <cfRule type="expression" dxfId="65" priority="8">
      <formula>C5="Nolen"</formula>
    </cfRule>
  </conditionalFormatting>
  <conditionalFormatting sqref="I5:I148">
    <cfRule type="expression" dxfId="64" priority="9">
      <formula>I5="Regular"</formula>
    </cfRule>
    <cfRule type="expression" dxfId="63" priority="10">
      <formula>I5="Taxi"</formula>
    </cfRule>
    <cfRule type="expression" dxfId="62" priority="11">
      <formula>I5="Pick"</formula>
    </cfRule>
  </conditionalFormatting>
  <dataValidations count="1">
    <dataValidation type="list" sqref="I5:I148" xr:uid="{00000000-0002-0000-0700-000000000000}">
      <formula1>"Regular,Taxi,Pick"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topLeftCell="C3" workbookViewId="0">
      <selection activeCell="D16" sqref="D16"/>
    </sheetView>
  </sheetViews>
  <sheetFormatPr defaultRowHeight="13.5"/>
  <cols>
    <col min="1" max="1" width="25" customWidth="1"/>
    <col min="2" max="2" width="15" customWidth="1"/>
    <col min="3" max="3" width="12" customWidth="1"/>
    <col min="4" max="6" width="13" customWidth="1"/>
    <col min="7" max="7" width="15" customWidth="1"/>
    <col min="8" max="8" width="28" customWidth="1"/>
    <col min="9" max="9" width="25" customWidth="1"/>
    <col min="10" max="10" width="15" customWidth="1"/>
    <col min="11" max="11" width="12" customWidth="1"/>
    <col min="12" max="14" width="13" customWidth="1"/>
    <col min="15" max="15" width="15" customWidth="1"/>
    <col min="16" max="16" width="28" customWidth="1"/>
  </cols>
  <sheetData>
    <row r="1" spans="1:16" ht="14" customHeight="1">
      <c r="A1" s="130" t="s">
        <v>626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6" ht="17" customHeight="1">
      <c r="A2" s="131" t="s">
        <v>627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4" spans="1:16" ht="13.9">
      <c r="A4" s="70" t="s">
        <v>628</v>
      </c>
      <c r="B4" s="66" t="s">
        <v>107</v>
      </c>
      <c r="I4" s="70" t="s">
        <v>629</v>
      </c>
      <c r="J4" s="66" t="s">
        <v>110</v>
      </c>
    </row>
    <row r="5" spans="1:16" ht="13.9">
      <c r="A5" s="70" t="s">
        <v>630</v>
      </c>
      <c r="B5" s="59">
        <f>SUM(C13:C18)</f>
        <v>3073</v>
      </c>
      <c r="I5" s="70" t="s">
        <v>631</v>
      </c>
      <c r="J5">
        <f>SUM(K13:K18)</f>
        <v>1806</v>
      </c>
    </row>
    <row r="6" spans="1:16" ht="13.9">
      <c r="A6" s="70" t="s">
        <v>632</v>
      </c>
      <c r="B6">
        <f>MAX(IF(E13="Player",C13,0),IF(E14="Player",C14,0),IF(E15="Player",C15,0),IF(E16="Player",C16,0),IF(E17="Player",C17,0),IF(E18="Player",C18,0))</f>
        <v>3073</v>
      </c>
      <c r="I6" s="70" t="s">
        <v>633</v>
      </c>
      <c r="J6">
        <f>MAX(IF(M13="Player",K13,0),IF(M14="Player",K14,0),IF(M15="Player",K15,0),IF(M16="Player",K16,0),IF(M17="Player",K17,0),IF(M18="Player",K18,0))</f>
        <v>1806</v>
      </c>
    </row>
    <row r="7" spans="1:16" ht="13.9">
      <c r="A7" s="70" t="s">
        <v>634</v>
      </c>
      <c r="B7">
        <f>IF(B6&lt;=J6,0,ROUND(B6*MIN('Asset Values'!$N$6,((B6-J6)/MAX(1,J6))*'Asset Values'!$N$7),0))</f>
        <v>970</v>
      </c>
      <c r="I7" s="70" t="s">
        <v>635</v>
      </c>
      <c r="J7">
        <f>IF(J6&lt;=B6,0,ROUND(J6*MIN('Asset Values'!$N$6,((J6-B6)/MAX(1,B6))*'Asset Values'!$N$7),0))</f>
        <v>0</v>
      </c>
    </row>
    <row r="8" spans="1:16" ht="13.9">
      <c r="A8" s="70" t="s">
        <v>636</v>
      </c>
      <c r="B8">
        <f>ROUND((IF(AND(E13="Player",F13="Regular",C13&lt;&gt;$B$6),C13,0)+IF(AND(E14="Player",F14="Regular",C14&lt;&gt;$B$6),C14,0)+IF(AND(E15="Player",F15="Regular",C15&lt;&gt;$B$6),C15,0)+IF(AND(E16="Player",F16="Regular",C16&lt;&gt;$B$6),C16,0)+IF(AND(E17="Player",F17="Regular",C17&lt;&gt;$B$6),C17,0)+IF(AND(E18="Player",F18="Regular",C18&lt;&gt;$B$6),C18,0))*'Asset Values'!$N$8+(IF(AND(E13="Player",F13="Taxi",C13&lt;&gt;$B$6),C13,0)+IF(AND(E14="Player",F14="Taxi",C14&lt;&gt;$B$6),C14,0)+IF(AND(E15="Player",F15="Taxi",C15&lt;&gt;$B$6),C15,0)+IF(AND(E16="Player",F16="Taxi",C16&lt;&gt;$B$6),C16,0)+IF(AND(E17="Player",F17="Taxi",C17&lt;&gt;$B$6),C17,0)+IF(AND(E18="Player",F18="Taxi",C18&lt;&gt;$B$6),C18,0))*'Asset Values'!$N$9,0)</f>
        <v>0</v>
      </c>
      <c r="I8" s="70" t="s">
        <v>636</v>
      </c>
      <c r="J8">
        <f>ROUND((IF(AND(M13="Player",N13="Regular",K13&lt;&gt;$J$6),K13,0)+IF(AND(M14="Player",N14="Regular",K14&lt;&gt;$J$6),K14,0)+IF(AND(M15="Player",N15="Regular",K15&lt;&gt;$J$6),K15,0)+IF(AND(M16="Player",N16="Regular",K16&lt;&gt;$J$6),K16,0)+IF(AND(M17="Player",N17="Regular",K17&lt;&gt;$J$6),K17,0)+IF(AND(M18="Player",N18="Regular",K18&lt;&gt;$J$6),K18,0))*'Asset Values'!$N$8+(IF(AND(M13="Player",N13="Taxi",K13&lt;&gt;$J$6),K13,0)+IF(AND(M14="Player",N14="Taxi",K14&lt;&gt;$J$6),K14,0)+IF(AND(M15="Player",N15="Taxi",K15&lt;&gt;$J$6),K15,0)+IF(AND(M16="Player",N16="Taxi",K16&lt;&gt;$J$6),K16,0)+IF(AND(M17="Player",N17="Taxi",K17&lt;&gt;$J$6),K17,0)+IF(AND(M18="Player",N18="Taxi",K18&lt;&gt;$J$6),K18,0))*'Asset Values'!$N$9,0)</f>
        <v>0</v>
      </c>
    </row>
    <row r="9" spans="1:16" ht="13.9">
      <c r="A9" s="71" t="s">
        <v>637</v>
      </c>
      <c r="B9" s="61">
        <f>SUM(G13:G18)-B8</f>
        <v>4043</v>
      </c>
      <c r="C9" s="61"/>
      <c r="D9" s="61"/>
      <c r="E9" s="61"/>
      <c r="F9" s="61"/>
      <c r="H9" s="61"/>
      <c r="I9" s="71" t="s">
        <v>638</v>
      </c>
      <c r="J9" s="61">
        <f>SUM(O13:O18)-J8</f>
        <v>1806</v>
      </c>
      <c r="K9" s="61"/>
      <c r="L9" s="61"/>
      <c r="M9" s="61"/>
    </row>
    <row r="10" spans="1:16" ht="13.9">
      <c r="A10" s="70" t="s">
        <v>639</v>
      </c>
      <c r="B10">
        <f>B9-J9</f>
        <v>2237</v>
      </c>
      <c r="H10" s="59"/>
      <c r="I10" s="70" t="s">
        <v>639</v>
      </c>
      <c r="J10">
        <f>J9-B9</f>
        <v>-2237</v>
      </c>
    </row>
    <row r="11" spans="1:16">
      <c r="A11" s="59"/>
      <c r="H11" s="59"/>
    </row>
    <row r="12" spans="1:16" ht="13.9">
      <c r="A12" s="75" t="s">
        <v>640</v>
      </c>
      <c r="B12" s="75" t="s">
        <v>526</v>
      </c>
      <c r="C12" s="75" t="s">
        <v>528</v>
      </c>
      <c r="D12" s="75" t="s">
        <v>641</v>
      </c>
      <c r="E12" s="75" t="s">
        <v>525</v>
      </c>
      <c r="F12" s="75" t="s">
        <v>531</v>
      </c>
      <c r="G12" s="75" t="s">
        <v>642</v>
      </c>
      <c r="H12" s="75" t="s">
        <v>133</v>
      </c>
      <c r="I12" s="75" t="s">
        <v>643</v>
      </c>
      <c r="J12" s="75" t="s">
        <v>526</v>
      </c>
      <c r="K12" s="75" t="s">
        <v>528</v>
      </c>
      <c r="L12" s="75" t="s">
        <v>641</v>
      </c>
      <c r="M12" s="75" t="s">
        <v>525</v>
      </c>
      <c r="N12" s="75" t="s">
        <v>531</v>
      </c>
      <c r="O12" s="75" t="s">
        <v>642</v>
      </c>
      <c r="P12" s="75" t="s">
        <v>133</v>
      </c>
    </row>
    <row r="13" spans="1:16">
      <c r="A13" s="66" t="s">
        <v>193</v>
      </c>
      <c r="B13" t="str">
        <f>IF(A13="","",IFERROR(INDEX('Asset Values'!$C$5:$C$148,MATCH(A13,'Asset Values'!$A$5:$A$148,0)),""))</f>
        <v>Medhansh</v>
      </c>
      <c r="C13">
        <f>IF(A13="","",IFERROR(INDEX('Asset Values'!$H$5:$H$148,MATCH(A13,'Asset Values'!$A$5:$A$148,0)),0))</f>
        <v>3073</v>
      </c>
      <c r="D13" t="str">
        <f t="shared" ref="D13:D18" si="0">IF(A13="","",IF(B13=$B$4,"Yes","Wrong owner"))</f>
        <v>Yes</v>
      </c>
      <c r="E13" t="str">
        <f>IF(A13="","",IFERROR(INDEX('Asset Values'!$B$5:$B$148,MATCH(A13,'Asset Values'!$A$5:$A$148,0)),""))</f>
        <v>Player</v>
      </c>
      <c r="F13" t="str">
        <f>IF(A13="","",IFERROR(INDEX('Asset Values'!$I$5:$I$148,MATCH(A13,'Asset Values'!$A$5:$A$148,0)),""))</f>
        <v>Regular</v>
      </c>
      <c r="G13">
        <f t="shared" ref="G13:G18" si="1">IF(A13="","",C13+IF(AND(E13="Player",C13=$B$6,$B$7&gt;0),$B$7,0))</f>
        <v>4043</v>
      </c>
      <c r="H13" s="59" t="str">
        <f t="shared" ref="H13:H18" si="2">IF(A13="","",IF(D13&lt;&gt;"Yes","Select an asset owned by Manager A",IF(G13&gt;C13,"Elite-asset premium applied",IF(F13="Taxi","Taxi boost applied",""))))</f>
        <v>Elite-asset premium applied</v>
      </c>
      <c r="I13" s="66" t="s">
        <v>207</v>
      </c>
      <c r="J13" t="str">
        <f>IF(I13="","",IFERROR(INDEX('Asset Values'!$C$5:$C$148,MATCH(I13,'Asset Values'!$A$5:$A$148,0)),""))</f>
        <v>Luke</v>
      </c>
      <c r="K13">
        <f>IF(I13="","",IFERROR(INDEX('Asset Values'!$H$5:$H$148,MATCH(I13,'Asset Values'!$A$5:$A$148,0)),0))</f>
        <v>1806</v>
      </c>
      <c r="L13" t="str">
        <f t="shared" ref="L13:L18" si="3">IF(I13="","",IF(J13=$J$4,"Yes","Wrong owner"))</f>
        <v>Yes</v>
      </c>
      <c r="M13" t="str">
        <f>IF(I13="","",IFERROR(INDEX('Asset Values'!$B$5:$B$148,MATCH(I13,'Asset Values'!$A$5:$A$148,0)),""))</f>
        <v>Player</v>
      </c>
      <c r="N13" t="str">
        <f>IF(I13="","",IFERROR(INDEX('Asset Values'!$I$5:$I$148,MATCH(I13,'Asset Values'!$A$5:$A$148,0)),""))</f>
        <v>Regular</v>
      </c>
      <c r="O13">
        <f t="shared" ref="O13:O18" si="4">IF(I13="","",K13+IF(AND(M13="Player",K13=$J$6,$J$7&gt;0),$J$7,0))</f>
        <v>1806</v>
      </c>
      <c r="P13" t="str">
        <f t="shared" ref="P13:P18" si="5">IF(I13="","",IF(L13&lt;&gt;"Yes","Select an asset owned by Manager B",IF(O13&gt;K13,"Elite-asset premium applied",IF(N13="Taxi","Taxi boost applied",""))))</f>
        <v/>
      </c>
    </row>
    <row r="14" spans="1:16">
      <c r="A14" s="66"/>
      <c r="B14" t="str">
        <f>IF(A14="","",IFERROR(INDEX('Asset Values'!$C$5:$C$148,MATCH(A14,'Asset Values'!$A$5:$A$148,0)),""))</f>
        <v/>
      </c>
      <c r="C14" t="str">
        <f>IF(A14="","",IFERROR(INDEX('Asset Values'!$H$5:$H$148,MATCH(A14,'Asset Values'!$A$5:$A$148,0)),0))</f>
        <v/>
      </c>
      <c r="D14" t="str">
        <f t="shared" si="0"/>
        <v/>
      </c>
      <c r="E14" t="str">
        <f>IF(A14="","",IFERROR(INDEX('Asset Values'!$B$5:$B$148,MATCH(A14,'Asset Values'!$A$5:$A$148,0)),""))</f>
        <v/>
      </c>
      <c r="F14" t="str">
        <f>IF(A14="","",IFERROR(INDEX('Asset Values'!$I$5:$I$148,MATCH(A14,'Asset Values'!$A$5:$A$148,0)),""))</f>
        <v/>
      </c>
      <c r="G14" t="str">
        <f t="shared" si="1"/>
        <v/>
      </c>
      <c r="H14" s="59" t="str">
        <f t="shared" si="2"/>
        <v/>
      </c>
      <c r="I14" s="66"/>
      <c r="J14" t="str">
        <f>IF(I14="","",IFERROR(INDEX('Asset Values'!$C$5:$C$148,MATCH(I14,'Asset Values'!$A$5:$A$148,0)),""))</f>
        <v/>
      </c>
      <c r="K14" t="str">
        <f>IF(I14="","",IFERROR(INDEX('Asset Values'!$H$5:$H$148,MATCH(I14,'Asset Values'!$A$5:$A$148,0)),0))</f>
        <v/>
      </c>
      <c r="L14" t="str">
        <f t="shared" si="3"/>
        <v/>
      </c>
      <c r="M14" t="str">
        <f>IF(I14="","",IFERROR(INDEX('Asset Values'!$B$5:$B$148,MATCH(I14,'Asset Values'!$A$5:$A$148,0)),""))</f>
        <v/>
      </c>
      <c r="N14" t="str">
        <f>IF(I14="","",IFERROR(INDEX('Asset Values'!$I$5:$I$148,MATCH(I14,'Asset Values'!$A$5:$A$148,0)),""))</f>
        <v/>
      </c>
      <c r="O14" t="str">
        <f t="shared" si="4"/>
        <v/>
      </c>
      <c r="P14" t="str">
        <f t="shared" si="5"/>
        <v/>
      </c>
    </row>
    <row r="15" spans="1:16">
      <c r="A15" s="66"/>
      <c r="B15" t="str">
        <f>IF(A15="","",IFERROR(INDEX('Asset Values'!$C$5:$C$148,MATCH(A15,'Asset Values'!$A$5:$A$148,0)),""))</f>
        <v/>
      </c>
      <c r="C15" t="str">
        <f>IF(A15="","",IFERROR(INDEX('Asset Values'!$H$5:$H$148,MATCH(A15,'Asset Values'!$A$5:$A$148,0)),0))</f>
        <v/>
      </c>
      <c r="D15" t="str">
        <f t="shared" si="0"/>
        <v/>
      </c>
      <c r="E15" t="str">
        <f>IF(A15="","",IFERROR(INDEX('Asset Values'!$B$5:$B$148,MATCH(A15,'Asset Values'!$A$5:$A$148,0)),""))</f>
        <v/>
      </c>
      <c r="F15" t="str">
        <f>IF(A15="","",IFERROR(INDEX('Asset Values'!$I$5:$I$148,MATCH(A15,'Asset Values'!$A$5:$A$148,0)),""))</f>
        <v/>
      </c>
      <c r="G15" t="str">
        <f t="shared" si="1"/>
        <v/>
      </c>
      <c r="H15" s="59" t="str">
        <f t="shared" si="2"/>
        <v/>
      </c>
      <c r="I15" s="66"/>
      <c r="J15" t="str">
        <f>IF(I15="","",IFERROR(INDEX('Asset Values'!$C$5:$C$148,MATCH(I15,'Asset Values'!$A$5:$A$148,0)),""))</f>
        <v/>
      </c>
      <c r="K15" t="str">
        <f>IF(I15="","",IFERROR(INDEX('Asset Values'!$H$5:$H$148,MATCH(I15,'Asset Values'!$A$5:$A$148,0)),0))</f>
        <v/>
      </c>
      <c r="L15" t="str">
        <f t="shared" si="3"/>
        <v/>
      </c>
      <c r="M15" t="str">
        <f>IF(I15="","",IFERROR(INDEX('Asset Values'!$B$5:$B$148,MATCH(I15,'Asset Values'!$A$5:$A$148,0)),""))</f>
        <v/>
      </c>
      <c r="N15" t="str">
        <f>IF(I15="","",IFERROR(INDEX('Asset Values'!$I$5:$I$148,MATCH(I15,'Asset Values'!$A$5:$A$148,0)),""))</f>
        <v/>
      </c>
      <c r="O15" t="str">
        <f t="shared" si="4"/>
        <v/>
      </c>
      <c r="P15" t="str">
        <f t="shared" si="5"/>
        <v/>
      </c>
    </row>
    <row r="16" spans="1:16">
      <c r="A16" s="66"/>
      <c r="B16" t="str">
        <f>IF(A16="","",IFERROR(INDEX('Asset Values'!$C$5:$C$148,MATCH(A16,'Asset Values'!$A$5:$A$148,0)),""))</f>
        <v/>
      </c>
      <c r="C16" t="str">
        <f>IF(A16="","",IFERROR(INDEX('Asset Values'!$H$5:$H$148,MATCH(A16,'Asset Values'!$A$5:$A$148,0)),0))</f>
        <v/>
      </c>
      <c r="D16" t="str">
        <f t="shared" si="0"/>
        <v/>
      </c>
      <c r="E16" t="str">
        <f>IF(A16="","",IFERROR(INDEX('Asset Values'!$B$5:$B$148,MATCH(A16,'Asset Values'!$A$5:$A$148,0)),""))</f>
        <v/>
      </c>
      <c r="F16" t="str">
        <f>IF(A16="","",IFERROR(INDEX('Asset Values'!$I$5:$I$148,MATCH(A16,'Asset Values'!$A$5:$A$148,0)),""))</f>
        <v/>
      </c>
      <c r="G16" t="str">
        <f t="shared" si="1"/>
        <v/>
      </c>
      <c r="H16" t="str">
        <f t="shared" si="2"/>
        <v/>
      </c>
      <c r="I16" s="66"/>
      <c r="J16" t="str">
        <f>IF(I16="","",IFERROR(INDEX('Asset Values'!$C$5:$C$148,MATCH(I16,'Asset Values'!$A$5:$A$148,0)),""))</f>
        <v/>
      </c>
      <c r="K16" t="str">
        <f>IF(I16="","",IFERROR(INDEX('Asset Values'!$H$5:$H$148,MATCH(I16,'Asset Values'!$A$5:$A$148,0)),0))</f>
        <v/>
      </c>
      <c r="L16" t="str">
        <f t="shared" si="3"/>
        <v/>
      </c>
      <c r="M16" t="str">
        <f>IF(I16="","",IFERROR(INDEX('Asset Values'!$B$5:$B$148,MATCH(I16,'Asset Values'!$A$5:$A$148,0)),""))</f>
        <v/>
      </c>
      <c r="N16" t="str">
        <f>IF(I16="","",IFERROR(INDEX('Asset Values'!$I$5:$I$148,MATCH(I16,'Asset Values'!$A$5:$A$148,0)),""))</f>
        <v/>
      </c>
      <c r="O16" t="str">
        <f t="shared" si="4"/>
        <v/>
      </c>
      <c r="P16" t="str">
        <f t="shared" si="5"/>
        <v/>
      </c>
    </row>
    <row r="17" spans="1:16">
      <c r="A17" s="66"/>
      <c r="B17" t="str">
        <f>IF(A17="","",IFERROR(INDEX('Asset Values'!$C$5:$C$148,MATCH(A17,'Asset Values'!$A$5:$A$148,0)),""))</f>
        <v/>
      </c>
      <c r="C17" t="str">
        <f>IF(A17="","",IFERROR(INDEX('Asset Values'!$H$5:$H$148,MATCH(A17,'Asset Values'!$A$5:$A$148,0)),0))</f>
        <v/>
      </c>
      <c r="D17" t="str">
        <f t="shared" si="0"/>
        <v/>
      </c>
      <c r="E17" t="str">
        <f>IF(A17="","",IFERROR(INDEX('Asset Values'!$B$5:$B$148,MATCH(A17,'Asset Values'!$A$5:$A$148,0)),""))</f>
        <v/>
      </c>
      <c r="F17" t="str">
        <f>IF(A17="","",IFERROR(INDEX('Asset Values'!$I$5:$I$148,MATCH(A17,'Asset Values'!$A$5:$A$148,0)),""))</f>
        <v/>
      </c>
      <c r="G17" t="str">
        <f t="shared" si="1"/>
        <v/>
      </c>
      <c r="H17" t="str">
        <f t="shared" si="2"/>
        <v/>
      </c>
      <c r="I17" s="66"/>
      <c r="J17" t="str">
        <f>IF(I17="","",IFERROR(INDEX('Asset Values'!$C$5:$C$148,MATCH(I17,'Asset Values'!$A$5:$A$148,0)),""))</f>
        <v/>
      </c>
      <c r="K17" t="str">
        <f>IF(I17="","",IFERROR(INDEX('Asset Values'!$H$5:$H$148,MATCH(I17,'Asset Values'!$A$5:$A$148,0)),0))</f>
        <v/>
      </c>
      <c r="L17" t="str">
        <f t="shared" si="3"/>
        <v/>
      </c>
      <c r="M17" t="str">
        <f>IF(I17="","",IFERROR(INDEX('Asset Values'!$B$5:$B$148,MATCH(I17,'Asset Values'!$A$5:$A$148,0)),""))</f>
        <v/>
      </c>
      <c r="N17" t="str">
        <f>IF(I17="","",IFERROR(INDEX('Asset Values'!$I$5:$I$148,MATCH(I17,'Asset Values'!$A$5:$A$148,0)),""))</f>
        <v/>
      </c>
      <c r="O17" t="str">
        <f t="shared" si="4"/>
        <v/>
      </c>
      <c r="P17" t="str">
        <f t="shared" si="5"/>
        <v/>
      </c>
    </row>
    <row r="18" spans="1:16" ht="13.9">
      <c r="A18" s="72"/>
      <c r="B18" t="str">
        <f>IF(A18="","",IFERROR(INDEX('Asset Values'!$C$5:$C$148,MATCH(A18,'Asset Values'!$A$5:$A$148,0)),""))</f>
        <v/>
      </c>
      <c r="C18" t="str">
        <f>IF(A18="","",IFERROR(INDEX('Asset Values'!$H$5:$H$148,MATCH(A18,'Asset Values'!$A$5:$A$148,0)),0))</f>
        <v/>
      </c>
      <c r="D18" t="str">
        <f t="shared" si="0"/>
        <v/>
      </c>
      <c r="E18" t="str">
        <f>IF(A18="","",IFERROR(INDEX('Asset Values'!$B$5:$B$148,MATCH(A18,'Asset Values'!$A$5:$A$148,0)),""))</f>
        <v/>
      </c>
      <c r="F18" t="str">
        <f>IF(A18="","",IFERROR(INDEX('Asset Values'!$I$5:$I$148,MATCH(A18,'Asset Values'!$A$5:$A$148,0)),""))</f>
        <v/>
      </c>
      <c r="G18" t="str">
        <f t="shared" si="1"/>
        <v/>
      </c>
      <c r="H18" s="60" t="str">
        <f t="shared" si="2"/>
        <v/>
      </c>
      <c r="I18" s="73"/>
      <c r="J18" s="29" t="str">
        <f>IF(I18="","",IFERROR(INDEX('Asset Values'!$C$5:$C$148,MATCH(I18,'Asset Values'!$A$5:$A$148,0)),""))</f>
        <v/>
      </c>
      <c r="K18" s="29" t="str">
        <f>IF(I18="","",IFERROR(INDEX('Asset Values'!$H$5:$H$148,MATCH(I18,'Asset Values'!$A$5:$A$148,0)),0))</f>
        <v/>
      </c>
      <c r="L18" s="29" t="str">
        <f t="shared" si="3"/>
        <v/>
      </c>
      <c r="M18" s="29" t="str">
        <f>IF(I18="","",IFERROR(INDEX('Asset Values'!$B$5:$B$148,MATCH(I18,'Asset Values'!$A$5:$A$148,0)),""))</f>
        <v/>
      </c>
      <c r="N18" t="str">
        <f>IF(I18="","",IFERROR(INDEX('Asset Values'!$I$5:$I$148,MATCH(I18,'Asset Values'!$A$5:$A$148,0)),""))</f>
        <v/>
      </c>
      <c r="O18" t="str">
        <f t="shared" si="4"/>
        <v/>
      </c>
      <c r="P18" t="str">
        <f t="shared" si="5"/>
        <v/>
      </c>
    </row>
    <row r="19" spans="1:16" ht="13.9">
      <c r="A19" s="62"/>
    </row>
    <row r="20" spans="1:16" ht="13.9">
      <c r="A20" s="62"/>
      <c r="B20" s="63"/>
    </row>
    <row r="21" spans="1:16" ht="13.9">
      <c r="A21" s="70" t="s">
        <v>644</v>
      </c>
      <c r="I21" s="64" t="s">
        <v>645</v>
      </c>
      <c r="J21" s="64"/>
      <c r="K21" s="64"/>
      <c r="L21" s="64"/>
      <c r="M21" s="64"/>
      <c r="N21" s="64"/>
      <c r="O21" s="64"/>
    </row>
    <row r="22" spans="1:16" ht="13.9">
      <c r="A22" s="70" t="s">
        <v>646</v>
      </c>
      <c r="B22">
        <f>ABS(B9-J9)</f>
        <v>2237</v>
      </c>
      <c r="I22" s="74" t="s">
        <v>647</v>
      </c>
      <c r="J22" t="s">
        <v>648</v>
      </c>
    </row>
    <row r="23" spans="1:16" ht="13.9">
      <c r="A23" s="70" t="s">
        <v>649</v>
      </c>
      <c r="B23" s="63">
        <f>IF(MAX(B9,J9)=0,"",B22/MAX(B9,J9))</f>
        <v>0.55330200346277514</v>
      </c>
      <c r="I23" s="74" t="s">
        <v>650</v>
      </c>
      <c r="J23" t="s">
        <v>651</v>
      </c>
    </row>
    <row r="24" spans="1:16" ht="13.9">
      <c r="A24" s="70" t="s">
        <v>652</v>
      </c>
      <c r="B24" t="str">
        <f>IF(B9=J9,"Even",IF(B9&gt;J9,J4,B4))</f>
        <v>Luke</v>
      </c>
      <c r="I24" s="74" t="s">
        <v>653</v>
      </c>
      <c r="J24" t="s">
        <v>654</v>
      </c>
    </row>
    <row r="25" spans="1:16" ht="13.9">
      <c r="A25" s="70" t="s">
        <v>655</v>
      </c>
      <c r="B25" t="str">
        <f>IF(B23="","",IF(B23&lt;='Asset Values'!$N$10,"Fair",IF(B23&lt;='Asset Values'!$N$11,"Slightly imbalanced","Very imbalanced")))</f>
        <v>Very imbalanced</v>
      </c>
      <c r="I25" s="74" t="s">
        <v>656</v>
      </c>
      <c r="J25" t="s">
        <v>657</v>
      </c>
    </row>
    <row r="26" spans="1:16" ht="13.9">
      <c r="A26" s="70" t="s">
        <v>658</v>
      </c>
      <c r="B26" t="str">
        <f>IF(COUNTIF(D13:D18,"Wrong owner")+COUNTIF(L13:L18,"Wrong owner")&gt;0,"Fix asset ownership","Valid")</f>
        <v>Valid</v>
      </c>
      <c r="I26" s="74" t="s">
        <v>659</v>
      </c>
      <c r="J26" t="s">
        <v>660</v>
      </c>
    </row>
    <row r="27" spans="1:16" ht="13.9">
      <c r="A27" s="70" t="s">
        <v>661</v>
      </c>
      <c r="B27" t="str">
        <f>IF(B5=J5,"Even",IF(B5&gt;J5,J4,B4))</f>
        <v>Luke</v>
      </c>
      <c r="I27" s="74" t="s">
        <v>662</v>
      </c>
      <c r="J27" t="s">
        <v>663</v>
      </c>
    </row>
    <row r="28" spans="1:16" ht="13.9">
      <c r="A28" s="70" t="s">
        <v>664</v>
      </c>
      <c r="B28" t="str">
        <f>IF(B25="","",IF(B25="Fair","Adjusted package values are within the fair range.",IF(B25="Slightly imbalanced",B24&amp;" receives the stronger adjusted package.",B24&amp;" receives a substantially stronger adjusted package.")))</f>
        <v>Luke receives a substantially stronger adjusted package.</v>
      </c>
      <c r="I28" s="74" t="s">
        <v>665</v>
      </c>
      <c r="J28" t="s">
        <v>666</v>
      </c>
    </row>
  </sheetData>
  <mergeCells count="2">
    <mergeCell ref="A1:O1"/>
    <mergeCell ref="A2:O2"/>
  </mergeCells>
  <conditionalFormatting sqref="B4">
    <cfRule type="expression" dxfId="61" priority="7">
      <formula>B4="Noah"</formula>
    </cfRule>
    <cfRule type="expression" dxfId="60" priority="8">
      <formula>B4="Colby"</formula>
    </cfRule>
    <cfRule type="expression" dxfId="59" priority="9">
      <formula>B4="Adam"</formula>
    </cfRule>
    <cfRule type="expression" dxfId="58" priority="10">
      <formula>B4="Jacob"</formula>
    </cfRule>
    <cfRule type="expression" dxfId="57" priority="11">
      <formula>B4="Medhansh"</formula>
    </cfRule>
    <cfRule type="expression" dxfId="56" priority="12">
      <formula>B4="Luke"</formula>
    </cfRule>
    <cfRule type="expression" dxfId="55" priority="13">
      <formula>B4="Spohn"</formula>
    </cfRule>
    <cfRule type="expression" dxfId="54" priority="14">
      <formula>B4="Nolen"</formula>
    </cfRule>
  </conditionalFormatting>
  <conditionalFormatting sqref="B13:B18">
    <cfRule type="expression" dxfId="53" priority="23">
      <formula>B13="Noah"</formula>
    </cfRule>
    <cfRule type="expression" dxfId="52" priority="24">
      <formula>B13="Colby"</formula>
    </cfRule>
    <cfRule type="expression" dxfId="51" priority="25">
      <formula>B13="Adam"</formula>
    </cfRule>
    <cfRule type="expression" dxfId="50" priority="26">
      <formula>B13="Jacob"</formula>
    </cfRule>
    <cfRule type="expression" dxfId="49" priority="27">
      <formula>B13="Medhansh"</formula>
    </cfRule>
    <cfRule type="expression" dxfId="48" priority="28">
      <formula>B13="Luke"</formula>
    </cfRule>
    <cfRule type="expression" dxfId="47" priority="29">
      <formula>B13="Spohn"</formula>
    </cfRule>
    <cfRule type="expression" dxfId="46" priority="30">
      <formula>B13="Nolen"</formula>
    </cfRule>
  </conditionalFormatting>
  <conditionalFormatting sqref="B22">
    <cfRule type="expression" dxfId="45" priority="1">
      <formula>B22="Fair"</formula>
    </cfRule>
    <cfRule type="expression" dxfId="44" priority="2">
      <formula>B22="Slightly imbalanced"</formula>
    </cfRule>
    <cfRule type="expression" dxfId="43" priority="3">
      <formula>B22="Very imbalanced"</formula>
    </cfRule>
  </conditionalFormatting>
  <conditionalFormatting sqref="B25">
    <cfRule type="expression" dxfId="42" priority="4">
      <formula>B25="Fair"</formula>
    </cfRule>
    <cfRule type="expression" dxfId="41" priority="5">
      <formula>B25="Slightly imbalanced"</formula>
    </cfRule>
    <cfRule type="expression" dxfId="40" priority="6">
      <formula>B25="Very imbalanced"</formula>
    </cfRule>
  </conditionalFormatting>
  <conditionalFormatting sqref="F13:F18">
    <cfRule type="expression" dxfId="39" priority="39">
      <formula>F13="Regular"</formula>
    </cfRule>
    <cfRule type="expression" dxfId="38" priority="40">
      <formula>F13="Taxi"</formula>
    </cfRule>
    <cfRule type="expression" dxfId="37" priority="41">
      <formula>F13="Pick"</formula>
    </cfRule>
  </conditionalFormatting>
  <conditionalFormatting sqref="J4">
    <cfRule type="expression" dxfId="36" priority="15">
      <formula>J4="Noah"</formula>
    </cfRule>
    <cfRule type="expression" dxfId="35" priority="16">
      <formula>J4="Colby"</formula>
    </cfRule>
    <cfRule type="expression" dxfId="34" priority="17">
      <formula>J4="Adam"</formula>
    </cfRule>
    <cfRule type="expression" dxfId="33" priority="18">
      <formula>J4="Jacob"</formula>
    </cfRule>
    <cfRule type="expression" dxfId="32" priority="19">
      <formula>J4="Medhansh"</formula>
    </cfRule>
    <cfRule type="expression" dxfId="31" priority="20">
      <formula>J4="Luke"</formula>
    </cfRule>
    <cfRule type="expression" dxfId="30" priority="21">
      <formula>J4="Spohn"</formula>
    </cfRule>
    <cfRule type="expression" dxfId="29" priority="22">
      <formula>J4="Nolen"</formula>
    </cfRule>
  </conditionalFormatting>
  <conditionalFormatting sqref="J13:J18">
    <cfRule type="expression" dxfId="28" priority="31">
      <formula>J13="Noah"</formula>
    </cfRule>
    <cfRule type="expression" dxfId="27" priority="32">
      <formula>J13="Colby"</formula>
    </cfRule>
    <cfRule type="expression" dxfId="26" priority="33">
      <formula>J13="Adam"</formula>
    </cfRule>
    <cfRule type="expression" dxfId="25" priority="34">
      <formula>J13="Jacob"</formula>
    </cfRule>
    <cfRule type="expression" dxfId="24" priority="35">
      <formula>J13="Medhansh"</formula>
    </cfRule>
    <cfRule type="expression" dxfId="23" priority="36">
      <formula>J13="Luke"</formula>
    </cfRule>
    <cfRule type="expression" dxfId="22" priority="37">
      <formula>J13="Spohn"</formula>
    </cfRule>
    <cfRule type="expression" dxfId="21" priority="38">
      <formula>J13="Nolen"</formula>
    </cfRule>
  </conditionalFormatting>
  <conditionalFormatting sqref="N13:N18">
    <cfRule type="expression" dxfId="20" priority="42">
      <formula>N13="Regular"</formula>
    </cfRule>
    <cfRule type="expression" dxfId="19" priority="43">
      <formula>N13="Taxi"</formula>
    </cfRule>
    <cfRule type="expression" dxfId="18" priority="44">
      <formula>N13="Pick"</formula>
    </cfRule>
  </conditionalFormatting>
  <dataValidations disablePrompts="1" count="1">
    <dataValidation type="list" sqref="J4 B4:B5" xr:uid="{00000000-0002-0000-0800-000000000000}">
      <formula1>"Noah,Colby,Adam,Jacob,Medhansh,Luke,Spohn,Nolen"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xr:uid="{00000000-0002-0000-0800-000001000000}">
          <x14:formula1>
            <xm:f>'Asset Values'!$A$5:$A$148</xm:f>
          </x14:formula1>
          <xm:sqref>I13:I18 A10:A18 H10:H15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Setup</vt:lpstr>
      <vt:lpstr>Player Board</vt:lpstr>
      <vt:lpstr>Draft Tracker</vt:lpstr>
      <vt:lpstr>Available Players</vt:lpstr>
      <vt:lpstr>Manager Profiles</vt:lpstr>
      <vt:lpstr>Pick Predictor</vt:lpstr>
      <vt:lpstr>Draft Room</vt:lpstr>
      <vt:lpstr>Asset Values</vt:lpstr>
      <vt:lpstr>Trade Calculator</vt:lpstr>
      <vt:lpstr>Draft 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noah barney</cp:lastModifiedBy>
  <dcterms:modified xsi:type="dcterms:W3CDTF">2026-08-11T01:50:04Z</dcterms:modified>
</cp:coreProperties>
</file>